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hmimran\Desktop\"/>
    </mc:Choice>
  </mc:AlternateContent>
  <bookViews>
    <workbookView xWindow="-120" yWindow="-120" windowWidth="19440" windowHeight="15000" firstSheet="1" activeTab="1"/>
  </bookViews>
  <sheets>
    <sheet name="Cut Panel Data" sheetId="1" state="hidden" r:id="rId1"/>
    <sheet name="Rejection Data" sheetId="2" r:id="rId2"/>
    <sheet name="Size Range" sheetId="3" state="hidden" r:id="rId3"/>
  </sheets>
  <externalReferences>
    <externalReference r:id="rId4"/>
  </externalReferences>
  <definedNames>
    <definedName name="_xlnm._FilterDatabase" localSheetId="0" hidden="1">'Cut Panel Data'!$B$7:$AS$7</definedName>
    <definedName name="_xlnm._FilterDatabase" localSheetId="1" hidden="1">'Rejection Data'!$A$4:$AC$10</definedName>
    <definedName name="NativeTimeline_Date">#N/A</definedName>
    <definedName name="Order_Formila">[1]Data!$E$2:$E$1048576</definedName>
    <definedName name="_xlnm.Print_Area" localSheetId="0">'Cut Panel Data'!$C$1:$AY$7</definedName>
    <definedName name="Scissor_Cut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2" l="1"/>
  <c r="H3" i="2"/>
  <c r="I3" i="2"/>
  <c r="J3" i="2"/>
  <c r="K3" i="2"/>
  <c r="L3" i="2"/>
  <c r="AK7" i="1" l="1"/>
  <c r="O4" i="2" l="1"/>
  <c r="P4" i="2"/>
  <c r="Q4" i="2"/>
  <c r="R4" i="2"/>
  <c r="S4" i="2"/>
  <c r="T4" i="2"/>
  <c r="U4" i="2"/>
  <c r="V4" i="2"/>
  <c r="W4" i="2"/>
  <c r="N4" i="2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AT4" i="1"/>
  <c r="AT3" i="1"/>
  <c r="AK3" i="1"/>
  <c r="AL7" i="1"/>
  <c r="AB7" i="1"/>
  <c r="AC7" i="1" s="1"/>
  <c r="BJ7" i="1"/>
  <c r="BJ3" i="1" s="1"/>
  <c r="BI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W3" i="2" l="1"/>
  <c r="P3" i="2"/>
  <c r="U3" i="2"/>
  <c r="T3" i="2"/>
  <c r="Q3" i="2"/>
  <c r="N3" i="2"/>
  <c r="R3" i="2"/>
  <c r="V3" i="2"/>
  <c r="O3" i="2"/>
  <c r="S3" i="2"/>
  <c r="AB3" i="1"/>
  <c r="M3" i="2" l="1"/>
  <c r="G3" i="2" s="1"/>
  <c r="Y3" i="2" l="1"/>
  <c r="X3" i="2"/>
  <c r="O4" i="1"/>
  <c r="P4" i="1"/>
  <c r="Q4" i="1"/>
  <c r="R4" i="1"/>
  <c r="S4" i="1"/>
  <c r="T4" i="1"/>
  <c r="U4" i="1"/>
  <c r="V4" i="1"/>
  <c r="W4" i="1"/>
  <c r="X4" i="1"/>
  <c r="Y4" i="1"/>
  <c r="Z4" i="1"/>
  <c r="AA4" i="1"/>
  <c r="AD4" i="1"/>
  <c r="AE4" i="1"/>
  <c r="AF4" i="1"/>
  <c r="AG4" i="1"/>
  <c r="AH4" i="1"/>
  <c r="AI4" i="1"/>
  <c r="AJ4" i="1"/>
  <c r="AM3" i="1"/>
  <c r="AN3" i="1"/>
  <c r="AO3" i="1"/>
  <c r="N4" i="1"/>
  <c r="I7" i="1"/>
  <c r="K7" i="1"/>
  <c r="J3" i="1"/>
  <c r="G3" i="1"/>
  <c r="AR7" i="1"/>
  <c r="AQ7" i="1"/>
  <c r="AP7" i="1"/>
  <c r="AS7" i="1" l="1"/>
  <c r="BK7" i="1"/>
  <c r="L7" i="1" s="1"/>
  <c r="M7" i="1" s="1"/>
  <c r="AP3" i="1"/>
  <c r="I3" i="1"/>
  <c r="H3" i="1"/>
  <c r="AC3" i="1" l="1"/>
  <c r="AL3" i="1"/>
  <c r="AE3" i="1"/>
  <c r="X3" i="1"/>
  <c r="Y3" i="1"/>
  <c r="O3" i="1"/>
  <c r="AA3" i="1"/>
  <c r="AS3" i="1"/>
  <c r="BK3" i="1"/>
  <c r="W3" i="1"/>
  <c r="Z3" i="1"/>
  <c r="Q3" i="1"/>
  <c r="U3" i="1"/>
  <c r="V3" i="1"/>
  <c r="T3" i="1"/>
  <c r="S3" i="1"/>
  <c r="AF3" i="1"/>
  <c r="AG3" i="1"/>
  <c r="AH3" i="1"/>
  <c r="AI3" i="1"/>
  <c r="P3" i="1"/>
  <c r="K3" i="1"/>
  <c r="AQ3" i="1"/>
  <c r="R3" i="1"/>
  <c r="AJ3" i="1"/>
  <c r="AR3" i="1"/>
  <c r="N3" i="1"/>
  <c r="AD3" i="1"/>
  <c r="L3" i="1"/>
  <c r="M3" i="1" s="1"/>
</calcChain>
</file>

<file path=xl/sharedStrings.xml><?xml version="1.0" encoding="utf-8"?>
<sst xmlns="http://schemas.openxmlformats.org/spreadsheetml/2006/main" count="201" uniqueCount="146">
  <si>
    <t xml:space="preserve">Line No. </t>
  </si>
  <si>
    <t>Buyer</t>
  </si>
  <si>
    <t>Order No</t>
  </si>
  <si>
    <t>Style</t>
  </si>
  <si>
    <t>Cutting Qty.</t>
  </si>
  <si>
    <t>Checked Qty</t>
  </si>
  <si>
    <t>Pass Qty.</t>
  </si>
  <si>
    <t>Defective Qty</t>
  </si>
  <si>
    <t>Defective %</t>
  </si>
  <si>
    <t>Fabric Defects Qty.</t>
  </si>
  <si>
    <t>Total Defect Qty</t>
  </si>
  <si>
    <t>Fabric DHU</t>
  </si>
  <si>
    <t>Cutting DHU</t>
  </si>
  <si>
    <t>Total DHU %</t>
  </si>
  <si>
    <t>Fabric Defects</t>
  </si>
  <si>
    <t>Cutting Defects</t>
  </si>
  <si>
    <t>Mending Replace</t>
  </si>
  <si>
    <t>Fabric Reject Parts</t>
  </si>
  <si>
    <t>Cutting Reject Parts</t>
  </si>
  <si>
    <t>Total Reject</t>
  </si>
  <si>
    <t>Fabric Reject %</t>
  </si>
  <si>
    <t>Cutting Reject %</t>
  </si>
  <si>
    <t>Total Reject %</t>
  </si>
  <si>
    <t>Slub</t>
  </si>
  <si>
    <t>Spot</t>
  </si>
  <si>
    <t>Knot</t>
  </si>
  <si>
    <t>Foreign yarn</t>
  </si>
  <si>
    <t>Naps</t>
  </si>
  <si>
    <t>Dyeing Problem</t>
  </si>
  <si>
    <t>Printing mark</t>
  </si>
  <si>
    <t>Weft bar</t>
  </si>
  <si>
    <t>Shade Bar</t>
  </si>
  <si>
    <t>Hole</t>
  </si>
  <si>
    <t>Check Missing</t>
  </si>
  <si>
    <t>Missing Yarn</t>
  </si>
  <si>
    <t>Thick yarn</t>
  </si>
  <si>
    <t>Size mistake</t>
  </si>
  <si>
    <t>Shoulder Uneven</t>
  </si>
  <si>
    <t>Side seam up/down</t>
  </si>
  <si>
    <t>Debenhams</t>
  </si>
  <si>
    <t>Colour</t>
  </si>
  <si>
    <t>Date</t>
  </si>
  <si>
    <t>Reject Anaysis</t>
  </si>
  <si>
    <t xml:space="preserve">Last Update: </t>
  </si>
  <si>
    <t>Sub Total &gt;&gt;&gt;&gt;&gt;</t>
  </si>
  <si>
    <t>1st Rejection Input Date</t>
  </si>
  <si>
    <t>Running Days</t>
  </si>
  <si>
    <t>BUYER NAME</t>
  </si>
  <si>
    <t>Reject %</t>
  </si>
  <si>
    <t>Size Wise Total Reject Qty.</t>
  </si>
  <si>
    <t>Varience</t>
  </si>
  <si>
    <t>Order Status</t>
  </si>
  <si>
    <t>XXS</t>
  </si>
  <si>
    <t>XS</t>
  </si>
  <si>
    <t>M</t>
  </si>
  <si>
    <t>L</t>
  </si>
  <si>
    <t>XL</t>
  </si>
  <si>
    <t>2XL</t>
  </si>
  <si>
    <t>3XL</t>
  </si>
  <si>
    <t>4XL</t>
  </si>
  <si>
    <t>6Xl</t>
  </si>
  <si>
    <t>7XL</t>
  </si>
  <si>
    <t>8XL</t>
  </si>
  <si>
    <t>9XL</t>
  </si>
  <si>
    <t>10XL</t>
  </si>
  <si>
    <t>11XL</t>
  </si>
  <si>
    <t>S</t>
  </si>
  <si>
    <t>XXL</t>
  </si>
  <si>
    <t>5XL</t>
  </si>
  <si>
    <t>6XL</t>
  </si>
  <si>
    <t>Size Wise Breakdown</t>
  </si>
  <si>
    <t>Total Reject (Size Wise)</t>
  </si>
  <si>
    <t>Cutting Defects Qty.</t>
  </si>
  <si>
    <t>Cut Panel Rejection Analysis Report</t>
  </si>
  <si>
    <t>3Xl</t>
  </si>
  <si>
    <t>4Xl</t>
  </si>
  <si>
    <t>-</t>
  </si>
  <si>
    <t>Rejection</t>
  </si>
  <si>
    <t>Miscut</t>
  </si>
  <si>
    <t>Bad shape</t>
  </si>
  <si>
    <t>Other's</t>
  </si>
  <si>
    <t>Rejection2</t>
  </si>
  <si>
    <t>ELFINDOLL CLASSIC</t>
  </si>
  <si>
    <t>60-70</t>
  </si>
  <si>
    <t>CK</t>
  </si>
  <si>
    <t>7X</t>
  </si>
  <si>
    <t>S-8/10</t>
  </si>
  <si>
    <t>M-10/12</t>
  </si>
  <si>
    <t>L-14/16</t>
  </si>
  <si>
    <t>XL-18/20</t>
  </si>
  <si>
    <t>TESCO-1</t>
  </si>
  <si>
    <t>6/34/XS</t>
  </si>
  <si>
    <t>8-10/36/8/S</t>
  </si>
  <si>
    <t>12-14/38/10/M</t>
  </si>
  <si>
    <t>16-18/40/12/L</t>
  </si>
  <si>
    <t>20-22/42/14/XL</t>
  </si>
  <si>
    <t>44/16/XXL</t>
  </si>
  <si>
    <t>46/18</t>
  </si>
  <si>
    <t>48/20</t>
  </si>
  <si>
    <t>50/22</t>
  </si>
  <si>
    <t>TESCO-2</t>
  </si>
  <si>
    <t>UP TO 1M</t>
  </si>
  <si>
    <t>UP TO 3M</t>
  </si>
  <si>
    <t>3-6M</t>
  </si>
  <si>
    <t>6-9M</t>
  </si>
  <si>
    <t>9-12M</t>
  </si>
  <si>
    <t>12-18M</t>
  </si>
  <si>
    <t>18-24M</t>
  </si>
  <si>
    <t>TESCO-3</t>
  </si>
  <si>
    <t>2-3Y</t>
  </si>
  <si>
    <t>3-4Y</t>
  </si>
  <si>
    <t>4-5Y</t>
  </si>
  <si>
    <t>5-6Y</t>
  </si>
  <si>
    <t>6-7Y</t>
  </si>
  <si>
    <t>7-8Y</t>
  </si>
  <si>
    <t>8-9Y</t>
  </si>
  <si>
    <t>9-10Y</t>
  </si>
  <si>
    <t>10-11Y</t>
  </si>
  <si>
    <t>11-12Y/12-13Y/13-14Y</t>
  </si>
  <si>
    <t>TEMA(MENS)</t>
  </si>
  <si>
    <t>TEMA(LADIES)</t>
  </si>
  <si>
    <t>TOMMY</t>
  </si>
  <si>
    <t>2T</t>
  </si>
  <si>
    <t>3T</t>
  </si>
  <si>
    <t>4T</t>
  </si>
  <si>
    <t>5T</t>
  </si>
  <si>
    <t>S/8-10</t>
  </si>
  <si>
    <t>M/10-12</t>
  </si>
  <si>
    <t>L/14-16</t>
  </si>
  <si>
    <t>XL/18-20</t>
  </si>
  <si>
    <t>BERSHKA</t>
  </si>
  <si>
    <t>Aboni Fashions Ltd.</t>
  </si>
  <si>
    <t>Cutting DHU &amp; Defect Analysis Report.</t>
  </si>
  <si>
    <t>Particular</t>
  </si>
  <si>
    <t xml:space="preserve">Total Reject Qty. </t>
  </si>
  <si>
    <t>Printing</t>
  </si>
  <si>
    <t>Embroidery</t>
  </si>
  <si>
    <t>Fabric</t>
  </si>
  <si>
    <t>Cutting</t>
  </si>
  <si>
    <t>Ord./Po. No.</t>
  </si>
  <si>
    <t>Item Name</t>
  </si>
  <si>
    <t>Challan No.</t>
  </si>
  <si>
    <t>Received Qty.</t>
  </si>
  <si>
    <t>QC Reject</t>
  </si>
  <si>
    <t>Company Name</t>
  </si>
  <si>
    <t>1st Jan-20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</si>
</sst>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Book Antiqua"/>
      <family val="1"/>
    </font>
    <font>
      <b/>
      <sz val="18"/>
      <color theme="1"/>
      <name val="Book Antiqua"/>
      <family val="1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Tahoma"/>
      <family val="2"/>
    </font>
    <font>
      <b/>
      <sz val="8"/>
      <color theme="1"/>
      <name val="Arial"/>
      <family val="2"/>
    </font>
    <font>
      <sz val="11"/>
      <color indexed="8"/>
      <name val="Arial"/>
      <family val="2"/>
    </font>
    <font>
      <b/>
      <i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Fill="1" applyBorder="1" applyProtection="1">
      <protection locked="0" hidden="1"/>
    </xf>
    <xf numFmtId="0" fontId="0" fillId="0" borderId="0" xfId="0" applyFill="1" applyBorder="1" applyAlignment="1" applyProtection="1">
      <alignment horizontal="center"/>
      <protection locked="0" hidden="1"/>
    </xf>
    <xf numFmtId="0" fontId="2" fillId="0" borderId="0" xfId="0" applyFont="1" applyFill="1" applyBorder="1" applyProtection="1">
      <protection locked="0" hidden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0" fontId="8" fillId="3" borderId="2" xfId="1" applyNumberFormat="1" applyFont="1" applyFill="1" applyBorder="1" applyAlignment="1" applyProtection="1">
      <alignment horizontal="center" vertical="center"/>
    </xf>
    <xf numFmtId="10" fontId="8" fillId="2" borderId="2" xfId="1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Protection="1">
      <protection locked="0" hidden="1"/>
    </xf>
    <xf numFmtId="0" fontId="8" fillId="3" borderId="2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  <protection locked="0" hidden="1"/>
    </xf>
    <xf numFmtId="0" fontId="8" fillId="0" borderId="0" xfId="0" applyFont="1" applyFill="1" applyBorder="1" applyAlignment="1" applyProtection="1">
      <alignment horizontal="center" textRotation="90"/>
      <protection locked="0" hidden="1"/>
    </xf>
    <xf numFmtId="0" fontId="8" fillId="0" borderId="0" xfId="0" applyFont="1" applyFill="1" applyBorder="1" applyAlignment="1" applyProtection="1">
      <alignment horizontal="center" textRotation="90" wrapText="1"/>
      <protection locked="0" hidden="1"/>
    </xf>
    <xf numFmtId="0" fontId="8" fillId="3" borderId="0" xfId="0" applyFont="1" applyFill="1" applyBorder="1" applyAlignment="1" applyProtection="1">
      <alignment horizontal="center" textRotation="90" wrapText="1"/>
      <protection locked="0" hidden="1"/>
    </xf>
    <xf numFmtId="0" fontId="8" fillId="3" borderId="0" xfId="0" applyFont="1" applyFill="1" applyBorder="1" applyAlignment="1" applyProtection="1">
      <alignment horizontal="center" textRotation="90"/>
      <protection locked="0" hidden="1"/>
    </xf>
    <xf numFmtId="0" fontId="8" fillId="2" borderId="0" xfId="0" applyFont="1" applyFill="1" applyBorder="1" applyAlignment="1" applyProtection="1">
      <alignment horizontal="center" textRotation="90" wrapText="1"/>
      <protection locked="0" hidden="1"/>
    </xf>
    <xf numFmtId="0" fontId="8" fillId="0" borderId="1" xfId="0" applyFont="1" applyFill="1" applyBorder="1" applyAlignment="1" applyProtection="1">
      <alignment horizontal="center" textRotation="90"/>
      <protection locked="0" hidden="1"/>
    </xf>
    <xf numFmtId="0" fontId="8" fillId="0" borderId="1" xfId="0" applyFont="1" applyFill="1" applyBorder="1" applyAlignment="1" applyProtection="1">
      <alignment horizontal="center" textRotation="90" wrapText="1"/>
      <protection locked="0" hidden="1"/>
    </xf>
    <xf numFmtId="164" fontId="5" fillId="0" borderId="0" xfId="0" quotePrefix="1" applyNumberFormat="1" applyFont="1" applyFill="1" applyBorder="1" applyAlignment="1" applyProtection="1">
      <alignment horizontal="center" vertical="center"/>
      <protection locked="0" hidden="1"/>
    </xf>
    <xf numFmtId="0" fontId="5" fillId="0" borderId="0" xfId="0" quotePrefix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Fill="1" applyBorder="1" applyAlignment="1" applyProtection="1">
      <alignment horizontal="center" vertical="center"/>
      <protection locked="0" hidden="1"/>
    </xf>
    <xf numFmtId="3" fontId="5" fillId="0" borderId="0" xfId="0" applyNumberFormat="1" applyFont="1" applyFill="1" applyBorder="1" applyAlignment="1" applyProtection="1">
      <alignment horizontal="center" vertical="center"/>
      <protection locked="0" hidden="1"/>
    </xf>
    <xf numFmtId="10" fontId="11" fillId="0" borderId="0" xfId="1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horizontal="center" vertical="center"/>
    </xf>
    <xf numFmtId="10" fontId="5" fillId="0" borderId="0" xfId="1" applyNumberFormat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Fill="1" applyBorder="1" applyAlignment="1" applyProtection="1">
      <alignment horizontal="center" vertical="center"/>
    </xf>
    <xf numFmtId="9" fontId="5" fillId="0" borderId="0" xfId="1" applyFont="1" applyFill="1" applyBorder="1" applyAlignment="1" applyProtection="1">
      <alignment horizontal="center" vertical="center"/>
    </xf>
    <xf numFmtId="9" fontId="13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  <protection locked="0" hidden="1"/>
    </xf>
    <xf numFmtId="0" fontId="5" fillId="0" borderId="0" xfId="0" applyFont="1" applyFill="1" applyBorder="1" applyProtection="1">
      <protection locked="0" hidden="1"/>
    </xf>
    <xf numFmtId="0" fontId="8" fillId="2" borderId="2" xfId="0" applyFont="1" applyFill="1" applyBorder="1" applyAlignment="1" applyProtection="1">
      <alignment vertical="center"/>
    </xf>
    <xf numFmtId="0" fontId="5" fillId="0" borderId="0" xfId="2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horizontal="center" textRotation="90"/>
      <protection locked="0"/>
    </xf>
    <xf numFmtId="164" fontId="5" fillId="0" borderId="0" xfId="2" applyNumberFormat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7" fillId="0" borderId="0" xfId="2" applyFont="1" applyBorder="1" applyAlignment="1" applyProtection="1">
      <alignment horizontal="center" vertical="center"/>
      <protection locked="0"/>
    </xf>
    <xf numFmtId="0" fontId="7" fillId="0" borderId="0" xfId="2" applyFont="1" applyBorder="1" applyAlignment="1" applyProtection="1">
      <alignment vertical="center"/>
      <protection locked="0"/>
    </xf>
    <xf numFmtId="0" fontId="9" fillId="4" borderId="2" xfId="2" applyFont="1" applyFill="1" applyBorder="1" applyAlignment="1" applyProtection="1">
      <alignment vertical="center"/>
      <protection locked="0"/>
    </xf>
    <xf numFmtId="164" fontId="14" fillId="4" borderId="2" xfId="2" applyNumberFormat="1" applyFont="1" applyFill="1" applyBorder="1" applyAlignment="1" applyProtection="1">
      <alignment horizontal="center" vertical="center"/>
      <protection locked="0"/>
    </xf>
    <xf numFmtId="0" fontId="5" fillId="0" borderId="2" xfId="2" applyFont="1" applyBorder="1" applyAlignment="1" applyProtection="1">
      <alignment horizontal="center" vertical="center"/>
      <protection hidden="1"/>
    </xf>
    <xf numFmtId="10" fontId="8" fillId="0" borderId="2" xfId="3" applyNumberFormat="1" applyFont="1" applyBorder="1" applyAlignment="1" applyProtection="1">
      <alignment horizontal="center" vertical="center"/>
      <protection hidden="1"/>
    </xf>
    <xf numFmtId="0" fontId="5" fillId="0" borderId="2" xfId="2" applyFont="1" applyFill="1" applyBorder="1" applyAlignment="1" applyProtection="1">
      <alignment horizontal="center" vertical="center" wrapText="1"/>
      <protection locked="0"/>
    </xf>
    <xf numFmtId="10" fontId="0" fillId="0" borderId="2" xfId="3" applyNumberFormat="1" applyFont="1" applyFill="1" applyBorder="1" applyAlignment="1" applyProtection="1">
      <alignment horizontal="center" vertical="center"/>
      <protection hidden="1"/>
    </xf>
    <xf numFmtId="0" fontId="5" fillId="0" borderId="2" xfId="2" applyFont="1" applyFill="1" applyBorder="1" applyAlignment="1" applyProtection="1">
      <alignment horizontal="center" vertical="center"/>
      <protection hidden="1"/>
    </xf>
    <xf numFmtId="0" fontId="5" fillId="0" borderId="2" xfId="2" applyFont="1" applyFill="1" applyBorder="1" applyAlignment="1" applyProtection="1">
      <alignment horizontal="center" vertical="center"/>
      <protection locked="0"/>
    </xf>
    <xf numFmtId="164" fontId="5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2" applyNumberFormat="1" applyFont="1" applyFill="1" applyBorder="1" applyAlignment="1" applyProtection="1">
      <alignment horizontal="center" vertical="center"/>
      <protection hidden="1"/>
    </xf>
    <xf numFmtId="0" fontId="5" fillId="0" borderId="2" xfId="2" applyBorder="1" applyAlignment="1" applyProtection="1">
      <alignment horizontal="center" vertical="center"/>
      <protection locked="0"/>
    </xf>
    <xf numFmtId="164" fontId="5" fillId="0" borderId="2" xfId="2" applyNumberForma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/>
      <protection locked="0" hidden="1"/>
    </xf>
    <xf numFmtId="0" fontId="8" fillId="0" borderId="5" xfId="0" applyFont="1" applyFill="1" applyBorder="1" applyAlignment="1" applyProtection="1">
      <alignment horizontal="center" vertical="center"/>
      <protection locked="0" hidden="1"/>
    </xf>
    <xf numFmtId="0" fontId="8" fillId="0" borderId="3" xfId="0" applyFont="1" applyFill="1" applyBorder="1" applyAlignment="1" applyProtection="1">
      <alignment horizontal="center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8" fillId="0" borderId="7" xfId="0" applyFont="1" applyFill="1" applyBorder="1" applyAlignment="1" applyProtection="1">
      <alignment horizontal="center" vertical="center"/>
      <protection locked="0" hidden="1"/>
    </xf>
    <xf numFmtId="0" fontId="8" fillId="0" borderId="0" xfId="0" applyFont="1" applyFill="1" applyBorder="1" applyAlignment="1" applyProtection="1">
      <alignment horizontal="center" vertical="center"/>
      <protection locked="0" hidden="1"/>
    </xf>
    <xf numFmtId="0" fontId="8" fillId="0" borderId="6" xfId="0" applyFont="1" applyFill="1" applyBorder="1" applyAlignment="1" applyProtection="1">
      <alignment horizontal="center" vertical="center"/>
      <protection locked="0" hidden="1"/>
    </xf>
    <xf numFmtId="0" fontId="8" fillId="0" borderId="10" xfId="0" applyFont="1" applyFill="1" applyBorder="1" applyAlignment="1" applyProtection="1">
      <alignment horizontal="center" vertical="center"/>
      <protection locked="0" hidden="1"/>
    </xf>
    <xf numFmtId="0" fontId="8" fillId="0" borderId="8" xfId="0" applyFont="1" applyFill="1" applyBorder="1" applyAlignment="1" applyProtection="1">
      <alignment horizontal="center" vertical="center"/>
      <protection locked="0" hidden="1"/>
    </xf>
    <xf numFmtId="0" fontId="8" fillId="0" borderId="9" xfId="0" applyFont="1" applyFill="1" applyBorder="1" applyAlignment="1" applyProtection="1">
      <alignment horizontal="center" vertical="center"/>
      <protection locked="0" hidden="1"/>
    </xf>
    <xf numFmtId="10" fontId="8" fillId="0" borderId="2" xfId="1" applyNumberFormat="1" applyFont="1" applyFill="1" applyBorder="1" applyAlignment="1" applyProtection="1">
      <alignment horizontal="center" vertical="center"/>
      <protection locked="0" hidden="1"/>
    </xf>
    <xf numFmtId="10" fontId="8" fillId="3" borderId="2" xfId="1" applyNumberFormat="1" applyFont="1" applyFill="1" applyBorder="1" applyAlignment="1" applyProtection="1">
      <alignment horizontal="center" vertical="center"/>
      <protection locked="0" hidden="1"/>
    </xf>
    <xf numFmtId="0" fontId="8" fillId="0" borderId="2" xfId="0" applyFont="1" applyFill="1" applyBorder="1" applyAlignment="1" applyProtection="1">
      <alignment horizontal="center" vertical="center"/>
      <protection locked="0" hidden="1"/>
    </xf>
    <xf numFmtId="0" fontId="8" fillId="3" borderId="2" xfId="0" applyFont="1" applyFill="1" applyBorder="1" applyAlignment="1" applyProtection="1">
      <alignment horizontal="center" vertical="center"/>
      <protection locked="0" hidden="1"/>
    </xf>
    <xf numFmtId="10" fontId="8" fillId="0" borderId="2" xfId="1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  <protection locked="0" hidden="1"/>
    </xf>
    <xf numFmtId="0" fontId="8" fillId="0" borderId="11" xfId="0" applyFont="1" applyFill="1" applyBorder="1" applyAlignment="1" applyProtection="1">
      <alignment horizontal="center" vertical="center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3" xfId="0" applyFont="1" applyFill="1" applyBorder="1" applyAlignment="1" applyProtection="1">
      <alignment horizontal="center" vertical="center"/>
      <protection locked="0" hidden="1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  <protection locked="0" hidden="1"/>
    </xf>
    <xf numFmtId="0" fontId="8" fillId="2" borderId="14" xfId="0" applyFont="1" applyFill="1" applyBorder="1" applyAlignment="1" applyProtection="1">
      <alignment horizontal="center" vertical="center"/>
      <protection locked="0" hidden="1"/>
    </xf>
    <xf numFmtId="0" fontId="8" fillId="2" borderId="13" xfId="0" applyFont="1" applyFill="1" applyBorder="1" applyAlignment="1" applyProtection="1">
      <alignment horizontal="center" vertical="center"/>
      <protection locked="0" hidden="1"/>
    </xf>
    <xf numFmtId="10" fontId="8" fillId="2" borderId="11" xfId="1" applyNumberFormat="1" applyFont="1" applyFill="1" applyBorder="1" applyAlignment="1" applyProtection="1">
      <alignment horizontal="center" vertical="center"/>
    </xf>
    <xf numFmtId="10" fontId="8" fillId="2" borderId="14" xfId="1" applyNumberFormat="1" applyFont="1" applyFill="1" applyBorder="1" applyAlignment="1" applyProtection="1">
      <alignment horizontal="center" vertical="center"/>
    </xf>
    <xf numFmtId="10" fontId="8" fillId="2" borderId="13" xfId="1" applyNumberFormat="1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  <protection locked="0" hidden="1"/>
    </xf>
    <xf numFmtId="0" fontId="8" fillId="0" borderId="15" xfId="0" applyFont="1" applyFill="1" applyBorder="1" applyAlignment="1" applyProtection="1">
      <alignment horizontal="center" vertical="center"/>
      <protection locked="0" hidden="1"/>
    </xf>
    <xf numFmtId="0" fontId="8" fillId="0" borderId="16" xfId="0" applyFont="1" applyFill="1" applyBorder="1" applyAlignment="1" applyProtection="1">
      <alignment horizontal="center" vertical="center"/>
      <protection locked="0" hidden="1"/>
    </xf>
    <xf numFmtId="0" fontId="8" fillId="2" borderId="2" xfId="0" applyFont="1" applyFill="1" applyBorder="1" applyAlignment="1" applyProtection="1">
      <alignment horizontal="center" vertical="center"/>
      <protection locked="0" hidden="1"/>
    </xf>
    <xf numFmtId="0" fontId="8" fillId="0" borderId="2" xfId="0" applyFont="1" applyFill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  <protection locked="0"/>
    </xf>
    <xf numFmtId="0" fontId="7" fillId="0" borderId="0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hidden="1"/>
    </xf>
    <xf numFmtId="0" fontId="10" fillId="5" borderId="2" xfId="2" applyFont="1" applyFill="1" applyBorder="1" applyAlignment="1" applyProtection="1">
      <alignment horizontal="center" vertical="center" wrapText="1"/>
      <protection hidden="1"/>
    </xf>
    <xf numFmtId="0" fontId="8" fillId="5" borderId="2" xfId="2" applyFont="1" applyFill="1" applyBorder="1" applyAlignment="1" applyProtection="1">
      <alignment horizontal="center" vertical="center" textRotation="90" wrapText="1"/>
      <protection hidden="1"/>
    </xf>
    <xf numFmtId="0" fontId="8" fillId="5" borderId="2" xfId="2" applyFont="1" applyFill="1" applyBorder="1" applyAlignment="1" applyProtection="1">
      <alignment horizontal="center" vertical="center" textRotation="90"/>
      <protection hidden="1"/>
    </xf>
    <xf numFmtId="164" fontId="8" fillId="5" borderId="2" xfId="2" applyNumberFormat="1" applyFont="1" applyFill="1" applyBorder="1" applyAlignment="1" applyProtection="1">
      <alignment horizontal="center" vertical="center" textRotation="90" wrapText="1"/>
      <protection hidden="1"/>
    </xf>
    <xf numFmtId="0" fontId="8" fillId="5" borderId="2" xfId="2" applyNumberFormat="1" applyFont="1" applyFill="1" applyBorder="1" applyAlignment="1" applyProtection="1">
      <alignment horizontal="center" textRotation="90"/>
      <protection hidden="1"/>
    </xf>
    <xf numFmtId="0" fontId="8" fillId="5" borderId="2" xfId="2" applyFont="1" applyFill="1" applyBorder="1" applyAlignment="1" applyProtection="1">
      <alignment horizontal="center" vertical="center" textRotation="90"/>
      <protection hidden="1"/>
    </xf>
  </cellXfs>
  <cellStyles count="4">
    <cellStyle name="Normal" xfId="0" builtinId="0"/>
    <cellStyle name="Normal 2" xfId="2"/>
    <cellStyle name="Percent" xfId="1" builtinId="5"/>
    <cellStyle name="Percent 2" xfId="3"/>
  </cellStyles>
  <dxfs count="75"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165" formatCode="0.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4" formatCode="[$-409]d\-mmm\-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1"/>
    </dxf>
    <dxf>
      <border outline="0">
        <left style="medium">
          <color rgb="FFC00000"/>
        </left>
        <right style="medium">
          <color rgb="FFC00000"/>
        </right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C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90" wrapText="0" indent="0" justifyLastLine="0" shrinkToFit="0" readingOrder="0"/>
      <border diagonalUp="0" diagonalDown="0" outline="0">
        <left style="thin">
          <color rgb="FFC00000"/>
        </left>
        <right style="thin">
          <color rgb="FFC00000"/>
        </right>
        <top/>
        <bottom/>
      </border>
      <protection locked="0" hidden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411954</xdr:colOff>
      <xdr:row>1</xdr:row>
      <xdr:rowOff>214313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3"/>
          <a:ext cx="1543048" cy="5834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HU%20Final\DHU%20Report%20@%20AK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oct-01"/>
      <sheetName val="oct-02"/>
      <sheetName val="oct-03"/>
      <sheetName val="oct-04"/>
      <sheetName val="oct-05"/>
      <sheetName val="oct-"/>
      <sheetName val="oct"/>
      <sheetName val="W=01"/>
      <sheetName val="oct."/>
      <sheetName val="oct-06"/>
      <sheetName val="oct-07"/>
      <sheetName val="oct-08"/>
      <sheetName val="oct-09"/>
      <sheetName val="oct-10"/>
      <sheetName val="oct-11"/>
      <sheetName val="W=02"/>
      <sheetName val="oct-13"/>
      <sheetName val="oct-14"/>
      <sheetName val="oct-15"/>
      <sheetName val="oct-16"/>
      <sheetName val="oct-17"/>
      <sheetName val="oct-18"/>
      <sheetName val="oct-19"/>
      <sheetName val="W=03"/>
      <sheetName val="oct-20"/>
      <sheetName val="oct-21"/>
      <sheetName val="oct-22"/>
      <sheetName val="oct-23"/>
      <sheetName val="oct-24"/>
      <sheetName val="oct-25"/>
      <sheetName val="oct-26"/>
      <sheetName val="W=04"/>
      <sheetName val="oct-27"/>
      <sheetName val="oct-28"/>
      <sheetName val="oct-29"/>
      <sheetName val="oct-30"/>
      <sheetName val="oct-31"/>
      <sheetName val="Sheet1"/>
      <sheetName val="oct-000"/>
      <sheetName val="oct-0000"/>
      <sheetName val="W=05"/>
      <sheetName val="Month of October-2018"/>
      <sheetName val="Month"/>
    </sheetNames>
    <sheetDataSet>
      <sheetData sheetId="0">
        <row r="2">
          <cell r="E2" t="str">
            <v>1  999CC2K800</v>
          </cell>
        </row>
        <row r="3">
          <cell r="E3" t="str">
            <v>2  197180-6525</v>
          </cell>
        </row>
        <row r="4">
          <cell r="E4" t="str">
            <v>3  II32239,IT23183,IK43066</v>
          </cell>
        </row>
        <row r="5">
          <cell r="E5" t="str">
            <v xml:space="preserve">4  </v>
          </cell>
        </row>
        <row r="6">
          <cell r="E6" t="str">
            <v>5  100391-6525</v>
          </cell>
        </row>
        <row r="7">
          <cell r="E7" t="str">
            <v>6  100391-6525</v>
          </cell>
        </row>
        <row r="8">
          <cell r="E8" t="str">
            <v>7  376768-3030</v>
          </cell>
        </row>
        <row r="9">
          <cell r="E9" t="str">
            <v>8  383234-6525</v>
          </cell>
        </row>
        <row r="10">
          <cell r="E10" t="str">
            <v>9  101513-6557</v>
          </cell>
        </row>
        <row r="11">
          <cell r="E11" t="str">
            <v>10  383234-6525</v>
          </cell>
        </row>
        <row r="12">
          <cell r="E12" t="str">
            <v>11  II32239,IT23183</v>
          </cell>
        </row>
        <row r="13">
          <cell r="E13" t="str">
            <v>12  383234-6525</v>
          </cell>
        </row>
        <row r="14">
          <cell r="E14" t="str">
            <v>13  999EE1K801</v>
          </cell>
        </row>
        <row r="15">
          <cell r="E15" t="str">
            <v>14  185090-4215</v>
          </cell>
        </row>
        <row r="16">
          <cell r="E16" t="str">
            <v>15  101513-6557</v>
          </cell>
        </row>
        <row r="17">
          <cell r="E17" t="str">
            <v>16  IE51429,IV58413,IK43894,II32627</v>
          </cell>
        </row>
        <row r="18">
          <cell r="E18" t="str">
            <v>17  999CC2K803</v>
          </cell>
        </row>
        <row r="19">
          <cell r="E19" t="str">
            <v>18  383234-6525</v>
          </cell>
        </row>
        <row r="20">
          <cell r="E20" t="str">
            <v>19  383234-6525</v>
          </cell>
        </row>
        <row r="21">
          <cell r="E21" t="str">
            <v>20  II32627,IV58413,IK43895,IK43894,IE51429</v>
          </cell>
        </row>
        <row r="22">
          <cell r="E22" t="str">
            <v>21  383234-6525</v>
          </cell>
        </row>
        <row r="23">
          <cell r="E23" t="str">
            <v>22  019CC1J019</v>
          </cell>
        </row>
        <row r="24">
          <cell r="E24" t="str">
            <v xml:space="preserve">23  </v>
          </cell>
        </row>
        <row r="25">
          <cell r="E25" t="str">
            <v>24  019CC1K017</v>
          </cell>
        </row>
        <row r="26">
          <cell r="E26" t="str">
            <v>25  383234-6525</v>
          </cell>
        </row>
        <row r="27">
          <cell r="E27" t="str">
            <v>26  100391-6525</v>
          </cell>
        </row>
        <row r="28">
          <cell r="E28" t="str">
            <v>27  IK43217,IT23259</v>
          </cell>
        </row>
        <row r="29">
          <cell r="E29" t="str">
            <v>28  383234-6525</v>
          </cell>
        </row>
        <row r="30">
          <cell r="E30" t="str">
            <v>29  128CC1E035</v>
          </cell>
        </row>
        <row r="31">
          <cell r="E31" t="str">
            <v xml:space="preserve">30  </v>
          </cell>
        </row>
        <row r="32">
          <cell r="E32" t="str">
            <v>31  128EE1K032</v>
          </cell>
        </row>
        <row r="33">
          <cell r="E33" t="str">
            <v>32  019CC1J019</v>
          </cell>
        </row>
        <row r="34">
          <cell r="E34" t="str">
            <v>33  IK43224,IT23268</v>
          </cell>
        </row>
        <row r="35">
          <cell r="E35" t="str">
            <v>34  999CC2K804</v>
          </cell>
        </row>
        <row r="36">
          <cell r="E36" t="str">
            <v>35  128CC1E035</v>
          </cell>
        </row>
        <row r="37">
          <cell r="E37" t="str">
            <v>36  25548-D1</v>
          </cell>
        </row>
        <row r="38">
          <cell r="E38" t="str">
            <v>37  25747-D</v>
          </cell>
        </row>
        <row r="39">
          <cell r="E39" t="str">
            <v>38  MA01-2018-01978</v>
          </cell>
        </row>
        <row r="40">
          <cell r="E40" t="str">
            <v>39  23776-D</v>
          </cell>
        </row>
        <row r="41">
          <cell r="E41" t="str">
            <v>40  25764-D</v>
          </cell>
        </row>
        <row r="42">
          <cell r="E42" t="str">
            <v>41  MA01-2018-2008</v>
          </cell>
        </row>
        <row r="43">
          <cell r="E43" t="str">
            <v>42  27227-D</v>
          </cell>
        </row>
        <row r="44">
          <cell r="E44" t="str">
            <v>43  90010401</v>
          </cell>
        </row>
        <row r="45">
          <cell r="E45" t="str">
            <v>44  MA07-2018-01064</v>
          </cell>
        </row>
        <row r="46">
          <cell r="E46" t="str">
            <v>45  375153-2317</v>
          </cell>
        </row>
        <row r="47">
          <cell r="E47" t="str">
            <v>46  23776-D</v>
          </cell>
        </row>
        <row r="48">
          <cell r="E48" t="str">
            <v>47  30111-04</v>
          </cell>
        </row>
        <row r="49">
          <cell r="E49" t="str">
            <v>48  II31390-HK</v>
          </cell>
        </row>
        <row r="50">
          <cell r="E50" t="str">
            <v>49  25590-D</v>
          </cell>
        </row>
        <row r="51">
          <cell r="E51" t="str">
            <v>50  MA07-2018-01579,IV57635-CN,IK42404-PH,MA09-2018-00929,IT22863-CA,II31681-HK,IK42406-US,TOP SAMPLE</v>
          </cell>
        </row>
        <row r="52">
          <cell r="E52" t="str">
            <v>51  23776-D</v>
          </cell>
        </row>
        <row r="53">
          <cell r="E53" t="str">
            <v>52  22912-D</v>
          </cell>
        </row>
        <row r="54">
          <cell r="E54" t="str">
            <v>53  26480-D</v>
          </cell>
        </row>
        <row r="55">
          <cell r="E55" t="str">
            <v>54  184670-4215</v>
          </cell>
        </row>
        <row r="56">
          <cell r="E56" t="str">
            <v>55  25764-D</v>
          </cell>
        </row>
        <row r="57">
          <cell r="E57" t="str">
            <v>56  MA09-2018-00494</v>
          </cell>
        </row>
        <row r="58">
          <cell r="E58" t="str">
            <v>57  25590-D</v>
          </cell>
        </row>
        <row r="59">
          <cell r="E59" t="str">
            <v>58  90010401</v>
          </cell>
        </row>
        <row r="60">
          <cell r="E60" t="str">
            <v>59  ELIO 4</v>
          </cell>
        </row>
        <row r="61">
          <cell r="E61" t="str">
            <v>60  26480-D</v>
          </cell>
        </row>
        <row r="62">
          <cell r="E62" t="str">
            <v>61  27972-D</v>
          </cell>
        </row>
        <row r="63">
          <cell r="E63" t="str">
            <v>62  DONA_Q4S/S 19_SOLIDS REP-02</v>
          </cell>
        </row>
        <row r="64">
          <cell r="E64" t="str">
            <v>63  DONA_Q4S/S 19_SOLIDS REP-02</v>
          </cell>
        </row>
        <row r="65">
          <cell r="E65" t="str">
            <v>64  19945-D/2</v>
          </cell>
        </row>
        <row r="66">
          <cell r="E66" t="str">
            <v>65  2031148 ARNHIEM</v>
          </cell>
        </row>
        <row r="67">
          <cell r="E67" t="str">
            <v>66  DONA_Q4S/S 19_SOLIDS REP-02</v>
          </cell>
        </row>
        <row r="68">
          <cell r="E68" t="str">
            <v>67  2032332 BIKER 10 DARK GREY MEL</v>
          </cell>
        </row>
        <row r="69">
          <cell r="E69" t="str">
            <v>68  23776-D</v>
          </cell>
        </row>
        <row r="70">
          <cell r="E70" t="str">
            <v>69  25567-D</v>
          </cell>
        </row>
        <row r="71">
          <cell r="E71" t="str">
            <v>70  2031162 AMSTERDAM</v>
          </cell>
        </row>
        <row r="72">
          <cell r="E72" t="str">
            <v>71  19945-D/2</v>
          </cell>
        </row>
        <row r="73">
          <cell r="E73" t="str">
            <v>72  MA01-2018-01978</v>
          </cell>
        </row>
        <row r="74">
          <cell r="E74" t="str">
            <v>73  LADIES SWEAT SHIRT REPEAT-1</v>
          </cell>
        </row>
        <row r="75">
          <cell r="E75" t="str">
            <v>74  2031420 WELLINGTON</v>
          </cell>
        </row>
        <row r="76">
          <cell r="E76" t="str">
            <v>75  27972-D</v>
          </cell>
        </row>
        <row r="77">
          <cell r="E77" t="str">
            <v>76  2031202 ARBON</v>
          </cell>
        </row>
        <row r="78">
          <cell r="E78" t="str">
            <v>77  2031073 ALANYA</v>
          </cell>
        </row>
        <row r="79">
          <cell r="E79" t="str">
            <v>78  26314-D</v>
          </cell>
        </row>
        <row r="80">
          <cell r="E80" t="str">
            <v xml:space="preserve">79  </v>
          </cell>
        </row>
        <row r="81">
          <cell r="E81" t="str">
            <v>80  2032331 BIKER 10 BLACK SOLID</v>
          </cell>
        </row>
        <row r="82">
          <cell r="E82" t="str">
            <v>81  23776-D</v>
          </cell>
        </row>
        <row r="83">
          <cell r="E83" t="str">
            <v>82  450004085</v>
          </cell>
        </row>
        <row r="84">
          <cell r="E84" t="str">
            <v>83  2032533 Nahim</v>
          </cell>
        </row>
        <row r="85">
          <cell r="E85" t="str">
            <v>84  27972-D</v>
          </cell>
        </row>
        <row r="86">
          <cell r="E86" t="str">
            <v>85  DONA_Q4S/S 19_SOLIDS</v>
          </cell>
        </row>
        <row r="87">
          <cell r="E87" t="str">
            <v>86  2031148 ARNHIEM</v>
          </cell>
        </row>
        <row r="88">
          <cell r="E88" t="str">
            <v>87  25567-D</v>
          </cell>
        </row>
        <row r="89">
          <cell r="E89" t="str">
            <v>88  1971824</v>
          </cell>
        </row>
        <row r="90">
          <cell r="E90" t="str">
            <v>89  84771-707-60-329/330-001</v>
          </cell>
        </row>
        <row r="91">
          <cell r="E91" t="str">
            <v>90  MA01-2018-01978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4.3101455974116014E-2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id="1" name="Table1" displayName="Table1" ref="A6:BK7" totalsRowShown="0" headerRowDxfId="70" dataDxfId="68" headerRowBorderDxfId="69" tableBorderDxfId="67">
  <autoFilter ref="A6:BK7"/>
  <tableColumns count="63">
    <tableColumn id="1" name="Date" dataDxfId="66"/>
    <tableColumn id="2" name="Line No. " dataDxfId="65"/>
    <tableColumn id="3" name="Buyer" dataDxfId="64"/>
    <tableColumn id="4" name="Order No" dataDxfId="63"/>
    <tableColumn id="5" name="Style" dataDxfId="62"/>
    <tableColumn id="6" name="Colour" dataDxfId="61"/>
    <tableColumn id="7" name="Cutting Qty." dataDxfId="60"/>
    <tableColumn id="8" name="Checked Qty" dataDxfId="59"/>
    <tableColumn id="9" name="Pass Qty." dataDxfId="58">
      <calculatedColumnFormula>H7-J7</calculatedColumnFormula>
    </tableColumn>
    <tableColumn id="10" name="Defective Qty" dataDxfId="57"/>
    <tableColumn id="11" name="Defective %" dataDxfId="56" dataCellStyle="Percent">
      <calculatedColumnFormula>IFERROR(J7/H7,"")</calculatedColumnFormula>
    </tableColumn>
    <tableColumn id="14" name="Total Defect Qty" dataDxfId="55">
      <calculatedColumnFormula>AB7+Table1[Cutting Defects Qty.]</calculatedColumnFormula>
    </tableColumn>
    <tableColumn id="17" name="Total DHU %" dataDxfId="54" dataCellStyle="Percent">
      <calculatedColumnFormula>IFERROR(L7/H7,"")</calculatedColumnFormula>
    </tableColumn>
    <tableColumn id="18" name="Slub" dataDxfId="53"/>
    <tableColumn id="19" name="Spot" dataDxfId="52"/>
    <tableColumn id="20" name="Rejection" dataDxfId="51"/>
    <tableColumn id="21" name="Knot" dataDxfId="50"/>
    <tableColumn id="22" name="Foreign yarn" dataDxfId="49"/>
    <tableColumn id="23" name="Naps" dataDxfId="48"/>
    <tableColumn id="24" name="Dyeing Problem" dataDxfId="47"/>
    <tableColumn id="25" name="Printing mark" dataDxfId="46"/>
    <tableColumn id="26" name="Weft bar" dataDxfId="45"/>
    <tableColumn id="27" name="Shade Bar" dataDxfId="44"/>
    <tableColumn id="28" name="Hole" dataDxfId="43"/>
    <tableColumn id="29" name="Check Missing" dataDxfId="42"/>
    <tableColumn id="30" name="Missing Yarn" dataDxfId="41"/>
    <tableColumn id="31" name="Thick yarn" dataDxfId="40"/>
    <tableColumn id="68" name="Fabric Defects Qty." dataDxfId="39" dataCellStyle="Percent">
      <calculatedColumnFormula>SUM(N7:AA7)</calculatedColumnFormula>
    </tableColumn>
    <tableColumn id="67" name="Fabric DHU" dataDxfId="38" dataCellStyle="Percent">
      <calculatedColumnFormula>IFERROR(AB7/H7,"")</calculatedColumnFormula>
    </tableColumn>
    <tableColumn id="32" name="Size mistake" dataDxfId="37"/>
    <tableColumn id="33" name="Miscut" dataDxfId="36"/>
    <tableColumn id="34" name="Shoulder Uneven" dataDxfId="35"/>
    <tableColumn id="35" name="Side seam up/down" dataDxfId="34"/>
    <tableColumn id="36" name="Bad shape" dataDxfId="33"/>
    <tableColumn id="37" name="Rejection2" dataDxfId="32"/>
    <tableColumn id="38" name="Other's" dataDxfId="31"/>
    <tableColumn id="70" name="Cutting Defects Qty." dataDxfId="30" dataCellStyle="Percent">
      <calculatedColumnFormula>SUM(Table1[[Size mistake]:[Other''s]])</calculatedColumnFormula>
    </tableColumn>
    <tableColumn id="69" name="Cutting DHU" dataDxfId="29" dataCellStyle="Percent">
      <calculatedColumnFormula>IFERROR(Table1[Cutting Defects Qty.]/Table1[Checked Qty],"")</calculatedColumnFormula>
    </tableColumn>
    <tableColumn id="42" name="Mending Replace" dataDxfId="28"/>
    <tableColumn id="43" name="Fabric Reject Parts" dataDxfId="27"/>
    <tableColumn id="44" name="Cutting Reject Parts" dataDxfId="26"/>
    <tableColumn id="45" name="Total Reject" dataDxfId="25">
      <calculatedColumnFormula>AN7+AO7</calculatedColumnFormula>
    </tableColumn>
    <tableColumn id="46" name="Fabric Reject %" dataDxfId="24" dataCellStyle="Percent">
      <calculatedColumnFormula>IFERROR(AN7/H7,"")</calculatedColumnFormula>
    </tableColumn>
    <tableColumn id="47" name="Cutting Reject %" dataDxfId="23" dataCellStyle="Percent">
      <calculatedColumnFormula>IFERROR(AO7/H7,"")</calculatedColumnFormula>
    </tableColumn>
    <tableColumn id="48" name="Total Reject %" dataDxfId="22" dataCellStyle="Percent">
      <calculatedColumnFormula>IFERROR(AP7/H7,"")</calculatedColumnFormula>
    </tableColumn>
    <tableColumn id="49" name="XXS" dataDxfId="21"/>
    <tableColumn id="50" name="XS" dataDxfId="20"/>
    <tableColumn id="51" name="S" dataDxfId="19"/>
    <tableColumn id="52" name="M" dataDxfId="18"/>
    <tableColumn id="53" name="L" dataDxfId="17"/>
    <tableColumn id="54" name="XL" dataDxfId="16"/>
    <tableColumn id="55" name="2XL" dataDxfId="15"/>
    <tableColumn id="56" name="3Xl" dataDxfId="14"/>
    <tableColumn id="57" name="4Xl" dataDxfId="13"/>
    <tableColumn id="58" name="5XL" dataDxfId="12"/>
    <tableColumn id="59" name="6Xl" dataDxfId="11"/>
    <tableColumn id="60" name="7XL" dataDxfId="10"/>
    <tableColumn id="61" name="8XL" dataDxfId="9"/>
    <tableColumn id="62" name="9XL" dataDxfId="8"/>
    <tableColumn id="63" name="10XL" dataDxfId="7"/>
    <tableColumn id="64" name="11XL" dataDxfId="6"/>
    <tableColumn id="65" name="Total Reject (Size Wise)" dataDxfId="5">
      <calculatedColumnFormula>SUM(Table1[[XXS]:[11XL]])</calculatedColumnFormula>
    </tableColumn>
    <tableColumn id="66" name="Varience" dataDxfId="4">
      <calculatedColumnFormula>Table1[Total Reject (Size Wise)]-Table1[Total Reject]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BK13"/>
  <sheetViews>
    <sheetView showGridLines="0" zoomScale="80" zoomScaleNormal="80" workbookViewId="0">
      <pane xSplit="10" ySplit="6" topLeftCell="K7" activePane="bottomRight" state="frozen"/>
      <selection activeCell="BG15" sqref="BG15"/>
      <selection pane="topRight" activeCell="BG15" sqref="BG15"/>
      <selection pane="bottomLeft" activeCell="BG15" sqref="BG15"/>
      <selection pane="bottomRight" activeCell="A3" sqref="A3:F5"/>
    </sheetView>
  </sheetViews>
  <sheetFormatPr defaultRowHeight="15" outlineLevelCol="1" x14ac:dyDescent="0.25"/>
  <cols>
    <col min="1" max="1" width="10.85546875" style="2" bestFit="1" customWidth="1"/>
    <col min="2" max="2" width="6" style="2" customWidth="1"/>
    <col min="3" max="3" width="13" style="1" bestFit="1" customWidth="1"/>
    <col min="4" max="4" width="8" style="1" customWidth="1"/>
    <col min="5" max="5" width="12.42578125" style="1" customWidth="1"/>
    <col min="6" max="6" width="11.85546875" style="1" customWidth="1"/>
    <col min="7" max="7" width="7" style="1" customWidth="1"/>
    <col min="8" max="8" width="8" style="3" customWidth="1"/>
    <col min="9" max="9" width="8.28515625" style="3" customWidth="1"/>
    <col min="10" max="10" width="8.140625" style="3" customWidth="1"/>
    <col min="11" max="11" width="8.28515625" style="3" customWidth="1"/>
    <col min="12" max="12" width="6.140625" style="3" customWidth="1"/>
    <col min="13" max="13" width="7.5703125" style="3" customWidth="1"/>
    <col min="14" max="15" width="9.85546875" style="1" customWidth="1" outlineLevel="1"/>
    <col min="16" max="16" width="10.5703125" style="1" customWidth="1" outlineLevel="1"/>
    <col min="17" max="17" width="9.85546875" style="1" customWidth="1" outlineLevel="1"/>
    <col min="18" max="18" width="12.42578125" style="1" customWidth="1" outlineLevel="1"/>
    <col min="19" max="19" width="9.85546875" style="1" customWidth="1" outlineLevel="1"/>
    <col min="20" max="21" width="12.42578125" style="1" customWidth="1" outlineLevel="1"/>
    <col min="22" max="24" width="9.85546875" style="1" customWidth="1" outlineLevel="1"/>
    <col min="25" max="26" width="12.42578125" style="1" customWidth="1" outlineLevel="1"/>
    <col min="27" max="27" width="9.85546875" style="1" customWidth="1" outlineLevel="1"/>
    <col min="28" max="29" width="9.85546875" style="1" customWidth="1"/>
    <col min="30" max="36" width="12.42578125" style="1" customWidth="1" outlineLevel="1"/>
    <col min="37" max="38" width="9.85546875" style="1" customWidth="1"/>
    <col min="39" max="39" width="6.85546875" style="1" bestFit="1" customWidth="1"/>
    <col min="40" max="41" width="9.5703125" style="1" bestFit="1" customWidth="1"/>
    <col min="42" max="42" width="4.7109375" style="1" bestFit="1" customWidth="1"/>
    <col min="43" max="44" width="7.140625" style="1" bestFit="1" customWidth="1"/>
    <col min="45" max="45" width="7.7109375" style="1" customWidth="1"/>
    <col min="46" max="46" width="6.42578125" style="1" customWidth="1" outlineLevel="1"/>
    <col min="47" max="61" width="9.140625" style="1" customWidth="1" outlineLevel="1"/>
    <col min="62" max="63" width="9.28515625" style="1" bestFit="1" customWidth="1"/>
    <col min="64" max="16384" width="9.140625" style="1"/>
  </cols>
  <sheetData>
    <row r="1" spans="1:63" ht="30.75" x14ac:dyDescent="0.45">
      <c r="A1" s="1"/>
      <c r="B1" s="58" t="s">
        <v>131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</row>
    <row r="2" spans="1:63" ht="23.25" x14ac:dyDescent="0.25">
      <c r="A2" s="73" t="s">
        <v>132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</row>
    <row r="3" spans="1:63" s="13" customFormat="1" ht="16.5" customHeight="1" x14ac:dyDescent="0.25">
      <c r="A3" s="59" t="s">
        <v>47</v>
      </c>
      <c r="B3" s="60"/>
      <c r="C3" s="60"/>
      <c r="D3" s="60"/>
      <c r="E3" s="60"/>
      <c r="F3" s="61"/>
      <c r="G3" s="70">
        <f>SUBTOTAL(9,Table1[Cutting Qty.])</f>
        <v>0</v>
      </c>
      <c r="H3" s="70">
        <f>SUBTOTAL(9,Table1[Checked Qty])</f>
        <v>11088</v>
      </c>
      <c r="I3" s="70">
        <f>SUBTOTAL(9,Table1[Pass Qty.])</f>
        <v>11007</v>
      </c>
      <c r="J3" s="70">
        <f>SUBTOTAL(9,Table1[Defective Qty])</f>
        <v>81</v>
      </c>
      <c r="K3" s="68">
        <f>IFERROR(J3/H3,"")</f>
        <v>7.305194805194805E-3</v>
      </c>
      <c r="L3" s="70">
        <f>SUBTOTAL(9,Table1[Total Defect Qty])</f>
        <v>61</v>
      </c>
      <c r="M3" s="68">
        <f>IFERROR(L3/H3,"")</f>
        <v>5.5014430014430011E-3</v>
      </c>
      <c r="N3" s="11">
        <f t="shared" ref="N3:AA3" si="0">IFERROR(N4/$H$3,"")</f>
        <v>7.215007215007215E-4</v>
      </c>
      <c r="O3" s="11">
        <f t="shared" si="0"/>
        <v>0</v>
      </c>
      <c r="P3" s="11">
        <f t="shared" si="0"/>
        <v>0</v>
      </c>
      <c r="Q3" s="11">
        <f t="shared" si="0"/>
        <v>0</v>
      </c>
      <c r="R3" s="11">
        <f t="shared" si="0"/>
        <v>5.4112554112554113E-4</v>
      </c>
      <c r="S3" s="11">
        <f t="shared" si="0"/>
        <v>0</v>
      </c>
      <c r="T3" s="11">
        <f t="shared" si="0"/>
        <v>1.7135642135642135E-3</v>
      </c>
      <c r="U3" s="11">
        <f t="shared" si="0"/>
        <v>1.0822510822510823E-3</v>
      </c>
      <c r="V3" s="11">
        <f t="shared" si="0"/>
        <v>1.8037518037518038E-4</v>
      </c>
      <c r="W3" s="11">
        <f t="shared" si="0"/>
        <v>3.6075036075036075E-4</v>
      </c>
      <c r="X3" s="11">
        <f t="shared" si="0"/>
        <v>3.6075036075036075E-4</v>
      </c>
      <c r="Y3" s="11">
        <f t="shared" si="0"/>
        <v>0</v>
      </c>
      <c r="Z3" s="11">
        <f t="shared" si="0"/>
        <v>0</v>
      </c>
      <c r="AA3" s="11">
        <f t="shared" si="0"/>
        <v>5.4112554112554113E-4</v>
      </c>
      <c r="AB3" s="71">
        <f>SUBTOTAL(9,Table1[Fabric Defects Qty.])</f>
        <v>61</v>
      </c>
      <c r="AC3" s="69">
        <f>IFERROR(AB3/H3,"")</f>
        <v>5.5014430014430011E-3</v>
      </c>
      <c r="AD3" s="12">
        <f t="shared" ref="AD3:AJ3" si="1">IFERROR(AD4/$H$3,"")</f>
        <v>0</v>
      </c>
      <c r="AE3" s="12">
        <f t="shared" si="1"/>
        <v>0</v>
      </c>
      <c r="AF3" s="12">
        <f t="shared" si="1"/>
        <v>0</v>
      </c>
      <c r="AG3" s="12">
        <f t="shared" si="1"/>
        <v>0</v>
      </c>
      <c r="AH3" s="12">
        <f t="shared" si="1"/>
        <v>0</v>
      </c>
      <c r="AI3" s="12">
        <f t="shared" si="1"/>
        <v>0</v>
      </c>
      <c r="AJ3" s="12">
        <f t="shared" si="1"/>
        <v>0</v>
      </c>
      <c r="AK3" s="80">
        <f>SUBTOTAL(9,Table1[Cutting Defects Qty.])</f>
        <v>0</v>
      </c>
      <c r="AL3" s="83">
        <f>IFERROR(AK3/H3,"")</f>
        <v>0</v>
      </c>
      <c r="AM3" s="90">
        <f>SUBTOTAL( 9,Table1[Mending Replace])</f>
        <v>71</v>
      </c>
      <c r="AN3" s="90">
        <f>SUBTOTAL( 9,Table1[Fabric Reject Parts])</f>
        <v>10</v>
      </c>
      <c r="AO3" s="90">
        <f>SUBTOTAL( 9,Table1[Cutting Reject Parts])</f>
        <v>0</v>
      </c>
      <c r="AP3" s="90">
        <f>SUBTOTAL( 9,Table1[Total Reject])</f>
        <v>10</v>
      </c>
      <c r="AQ3" s="72">
        <f>IFERROR(AN3/$H$3,"")</f>
        <v>9.0187590187590188E-4</v>
      </c>
      <c r="AR3" s="72">
        <f>IFERROR(AO3/$H$3,"")</f>
        <v>0</v>
      </c>
      <c r="AS3" s="72">
        <f>IFERROR(AP3/$H$3,"")</f>
        <v>9.0187590187590188E-4</v>
      </c>
      <c r="AT3" s="15">
        <f>SUBTOTAL( 9,Table1[XXS])</f>
        <v>0</v>
      </c>
      <c r="AU3" s="15">
        <f>SUBTOTAL( 9,Table1[XS])</f>
        <v>0</v>
      </c>
      <c r="AV3" s="15">
        <f>SUBTOTAL( 9,Table1[S])</f>
        <v>0</v>
      </c>
      <c r="AW3" s="15">
        <f>SUBTOTAL( 9,Table1[M])</f>
        <v>0</v>
      </c>
      <c r="AX3" s="15">
        <f>SUBTOTAL( 9,Table1[L])</f>
        <v>0</v>
      </c>
      <c r="AY3" s="15">
        <f>SUBTOTAL( 9,Table1[XL])</f>
        <v>0</v>
      </c>
      <c r="AZ3" s="15">
        <f>SUBTOTAL( 9,Table1[2XL])</f>
        <v>0</v>
      </c>
      <c r="BA3" s="15">
        <f>SUBTOTAL( 9,Table1[3Xl])</f>
        <v>0</v>
      </c>
      <c r="BB3" s="15">
        <f>SUBTOTAL( 9,Table1[4Xl])</f>
        <v>0</v>
      </c>
      <c r="BC3" s="15">
        <f>SUBTOTAL( 9,Table1[5XL])</f>
        <v>0</v>
      </c>
      <c r="BD3" s="15">
        <f>SUBTOTAL( 9,Table1[6Xl])</f>
        <v>0</v>
      </c>
      <c r="BE3" s="15">
        <f>SUBTOTAL( 9,Table1[7XL])</f>
        <v>0</v>
      </c>
      <c r="BF3" s="15">
        <f>SUBTOTAL( 9,Table1[8XL])</f>
        <v>0</v>
      </c>
      <c r="BG3" s="15">
        <f>SUBTOTAL( 9,Table1[9XL])</f>
        <v>0</v>
      </c>
      <c r="BH3" s="15">
        <f>SUBTOTAL( 9,Table1[10XL])</f>
        <v>0</v>
      </c>
      <c r="BI3" s="15">
        <f>SUBTOTAL( 9,Table1[11XL])</f>
        <v>0</v>
      </c>
      <c r="BJ3" s="77">
        <f>SUBTOTAL( 9,Table1[Total Reject (Size Wise)])</f>
        <v>0</v>
      </c>
      <c r="BK3" s="74">
        <f>BJ3-AP3</f>
        <v>-10</v>
      </c>
    </row>
    <row r="4" spans="1:63" s="13" customFormat="1" ht="16.5" customHeight="1" x14ac:dyDescent="0.25">
      <c r="A4" s="62"/>
      <c r="B4" s="63"/>
      <c r="C4" s="63"/>
      <c r="D4" s="63"/>
      <c r="E4" s="63"/>
      <c r="F4" s="64"/>
      <c r="G4" s="70"/>
      <c r="H4" s="70"/>
      <c r="I4" s="70"/>
      <c r="J4" s="70"/>
      <c r="K4" s="68"/>
      <c r="L4" s="70"/>
      <c r="M4" s="68"/>
      <c r="N4" s="14">
        <f>SUBTOTAL( 9,Table1[Slub])</f>
        <v>8</v>
      </c>
      <c r="O4" s="14">
        <f>SUBTOTAL( 9,Table1[Spot])</f>
        <v>0</v>
      </c>
      <c r="P4" s="14">
        <f>SUBTOTAL( 9,Table1[Rejection])</f>
        <v>0</v>
      </c>
      <c r="Q4" s="14">
        <f>SUBTOTAL( 9,Table1[Knot])</f>
        <v>0</v>
      </c>
      <c r="R4" s="14">
        <f>SUBTOTAL( 9,Table1[Foreign yarn])</f>
        <v>6</v>
      </c>
      <c r="S4" s="14">
        <f>SUBTOTAL( 9,Table1[Naps])</f>
        <v>0</v>
      </c>
      <c r="T4" s="14">
        <f>SUBTOTAL( 9,Table1[Dyeing Problem])</f>
        <v>19</v>
      </c>
      <c r="U4" s="14">
        <f>SUBTOTAL( 9,Table1[Printing mark])</f>
        <v>12</v>
      </c>
      <c r="V4" s="14">
        <f>SUBTOTAL( 9,Table1[Weft bar])</f>
        <v>2</v>
      </c>
      <c r="W4" s="14">
        <f>SUBTOTAL( 9,Table1[Shade Bar])</f>
        <v>4</v>
      </c>
      <c r="X4" s="14">
        <f>SUBTOTAL( 9,Table1[Hole])</f>
        <v>4</v>
      </c>
      <c r="Y4" s="14">
        <f>SUBTOTAL( 9,Table1[Check Missing])</f>
        <v>0</v>
      </c>
      <c r="Z4" s="14">
        <f>SUBTOTAL( 9,Table1[Missing Yarn])</f>
        <v>0</v>
      </c>
      <c r="AA4" s="14">
        <f>SUBTOTAL( 9,Table1[Thick yarn])</f>
        <v>6</v>
      </c>
      <c r="AB4" s="71"/>
      <c r="AC4" s="69"/>
      <c r="AD4" s="15">
        <f>SUBTOTAL( 9,Table1[Size mistake])</f>
        <v>0</v>
      </c>
      <c r="AE4" s="15">
        <f>SUBTOTAL( 9,Table1[Miscut])</f>
        <v>0</v>
      </c>
      <c r="AF4" s="15">
        <f>SUBTOTAL( 9,Table1[Shoulder Uneven])</f>
        <v>0</v>
      </c>
      <c r="AG4" s="15">
        <f>SUBTOTAL( 9,Table1[Side seam up/down])</f>
        <v>0</v>
      </c>
      <c r="AH4" s="15">
        <f>SUBTOTAL( 9,Table1[Bad shape])</f>
        <v>0</v>
      </c>
      <c r="AI4" s="15">
        <f>SUBTOTAL( 9,Table1[Rejection2])</f>
        <v>0</v>
      </c>
      <c r="AJ4" s="15">
        <f>SUBTOTAL( 9,Table1[Other''s])</f>
        <v>0</v>
      </c>
      <c r="AK4" s="81"/>
      <c r="AL4" s="84"/>
      <c r="AM4" s="90"/>
      <c r="AN4" s="90"/>
      <c r="AO4" s="90"/>
      <c r="AP4" s="90"/>
      <c r="AQ4" s="72"/>
      <c r="AR4" s="72"/>
      <c r="AS4" s="72"/>
      <c r="AT4" s="37" t="str">
        <f>INDEX('Size Range'!B:B,MATCH('Cut Panel Data'!$A$3,'Size Range'!$A:$A,0))</f>
        <v>XS</v>
      </c>
      <c r="AU4" s="37" t="str">
        <f>INDEX('Size Range'!C:C,MATCH('Cut Panel Data'!$A$3,'Size Range'!$A:$A,0))</f>
        <v>S</v>
      </c>
      <c r="AV4" s="37" t="str">
        <f>INDEX('Size Range'!D:D,MATCH('Cut Panel Data'!$A$3,'Size Range'!$A:$A,0))</f>
        <v>M</v>
      </c>
      <c r="AW4" s="37" t="str">
        <f>INDEX('Size Range'!E:E,MATCH('Cut Panel Data'!$A$3,'Size Range'!$A:$A,0))</f>
        <v>L</v>
      </c>
      <c r="AX4" s="37" t="str">
        <f>INDEX('Size Range'!F:F,MATCH('Cut Panel Data'!$A$3,'Size Range'!$A:$A,0))</f>
        <v>XL</v>
      </c>
      <c r="AY4" s="37" t="str">
        <f>INDEX('Size Range'!G:G,MATCH('Cut Panel Data'!$A$3,'Size Range'!$A:$A,0))</f>
        <v>2XL</v>
      </c>
      <c r="AZ4" s="37" t="str">
        <f>INDEX('Size Range'!H:H,MATCH('Cut Panel Data'!$A$3,'Size Range'!$A:$A,0))</f>
        <v>3XL</v>
      </c>
      <c r="BA4" s="37" t="str">
        <f>INDEX('Size Range'!I:I,MATCH('Cut Panel Data'!$A$3,'Size Range'!$A:$A,0))</f>
        <v>4XL</v>
      </c>
      <c r="BB4" s="37" t="str">
        <f>INDEX('Size Range'!J:J,MATCH('Cut Panel Data'!$A$3,'Size Range'!$A:$A,0))</f>
        <v>5XL</v>
      </c>
      <c r="BC4" s="37" t="str">
        <f>INDEX('Size Range'!K:K,MATCH('Cut Panel Data'!$A$3,'Size Range'!$A:$A,0))</f>
        <v>6XL</v>
      </c>
      <c r="BD4" s="37" t="e">
        <f>INDEX('Size Range'!#REF!,MATCH('Cut Panel Data'!$A$3,'Size Range'!$A:$A,0))</f>
        <v>#REF!</v>
      </c>
      <c r="BE4" s="37" t="e">
        <f>INDEX('Size Range'!#REF!,MATCH('Cut Panel Data'!$A$3,'Size Range'!$A:$A,0))</f>
        <v>#REF!</v>
      </c>
      <c r="BF4" s="37" t="e">
        <f>INDEX('Size Range'!#REF!,MATCH('Cut Panel Data'!$A$3,'Size Range'!$A:$A,0))</f>
        <v>#REF!</v>
      </c>
      <c r="BG4" s="37" t="e">
        <f>INDEX('Size Range'!#REF!,MATCH('Cut Panel Data'!$A$3,'Size Range'!$A:$A,0))</f>
        <v>#REF!</v>
      </c>
      <c r="BH4" s="37" t="e">
        <f>INDEX('Size Range'!#REF!,MATCH('Cut Panel Data'!$A$3,'Size Range'!$A:$A,0))</f>
        <v>#REF!</v>
      </c>
      <c r="BI4" s="37" t="e">
        <f>INDEX('Size Range'!#REF!,MATCH('Cut Panel Data'!$A$3,'Size Range'!$A:$A,0))</f>
        <v>#REF!</v>
      </c>
      <c r="BJ4" s="78"/>
      <c r="BK4" s="75"/>
    </row>
    <row r="5" spans="1:63" s="16" customFormat="1" x14ac:dyDescent="0.25">
      <c r="A5" s="65"/>
      <c r="B5" s="66"/>
      <c r="C5" s="66"/>
      <c r="D5" s="66"/>
      <c r="E5" s="66"/>
      <c r="F5" s="67"/>
      <c r="G5" s="70"/>
      <c r="H5" s="70"/>
      <c r="I5" s="70"/>
      <c r="J5" s="70"/>
      <c r="K5" s="68"/>
      <c r="L5" s="70"/>
      <c r="M5" s="68"/>
      <c r="N5" s="71" t="s">
        <v>14</v>
      </c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69"/>
      <c r="AD5" s="89" t="s">
        <v>15</v>
      </c>
      <c r="AE5" s="89"/>
      <c r="AF5" s="89"/>
      <c r="AG5" s="89"/>
      <c r="AH5" s="89"/>
      <c r="AI5" s="89"/>
      <c r="AJ5" s="89"/>
      <c r="AK5" s="82"/>
      <c r="AL5" s="85"/>
      <c r="AM5" s="70" t="s">
        <v>42</v>
      </c>
      <c r="AN5" s="70"/>
      <c r="AO5" s="70"/>
      <c r="AP5" s="70"/>
      <c r="AQ5" s="70"/>
      <c r="AR5" s="70"/>
      <c r="AS5" s="70"/>
      <c r="AT5" s="86" t="s">
        <v>70</v>
      </c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8"/>
      <c r="BJ5" s="79"/>
      <c r="BK5" s="76"/>
    </row>
    <row r="6" spans="1:63" s="17" customFormat="1" ht="83.1" customHeight="1" x14ac:dyDescent="0.25">
      <c r="A6" s="17" t="s">
        <v>41</v>
      </c>
      <c r="B6" s="17" t="s">
        <v>0</v>
      </c>
      <c r="C6" s="17" t="s">
        <v>1</v>
      </c>
      <c r="D6" s="17" t="s">
        <v>2</v>
      </c>
      <c r="E6" s="17" t="s">
        <v>3</v>
      </c>
      <c r="F6" s="17" t="s">
        <v>40</v>
      </c>
      <c r="G6" s="17" t="s">
        <v>4</v>
      </c>
      <c r="H6" s="17" t="s">
        <v>5</v>
      </c>
      <c r="I6" s="17" t="s">
        <v>6</v>
      </c>
      <c r="J6" s="17" t="s">
        <v>7</v>
      </c>
      <c r="K6" s="17" t="s">
        <v>8</v>
      </c>
      <c r="L6" s="18" t="s">
        <v>10</v>
      </c>
      <c r="M6" s="17" t="s">
        <v>13</v>
      </c>
      <c r="N6" s="19" t="s">
        <v>23</v>
      </c>
      <c r="O6" s="19" t="s">
        <v>24</v>
      </c>
      <c r="P6" s="20" t="s">
        <v>77</v>
      </c>
      <c r="Q6" s="19" t="s">
        <v>25</v>
      </c>
      <c r="R6" s="19" t="s">
        <v>26</v>
      </c>
      <c r="S6" s="19" t="s">
        <v>27</v>
      </c>
      <c r="T6" s="19" t="s">
        <v>28</v>
      </c>
      <c r="U6" s="19" t="s">
        <v>29</v>
      </c>
      <c r="V6" s="19" t="s">
        <v>30</v>
      </c>
      <c r="W6" s="19" t="s">
        <v>31</v>
      </c>
      <c r="X6" s="19" t="s">
        <v>32</v>
      </c>
      <c r="Y6" s="19" t="s">
        <v>33</v>
      </c>
      <c r="Z6" s="19" t="s">
        <v>34</v>
      </c>
      <c r="AA6" s="19" t="s">
        <v>35</v>
      </c>
      <c r="AB6" s="19" t="s">
        <v>9</v>
      </c>
      <c r="AC6" s="19" t="s">
        <v>11</v>
      </c>
      <c r="AD6" s="21" t="s">
        <v>36</v>
      </c>
      <c r="AE6" s="21" t="s">
        <v>78</v>
      </c>
      <c r="AF6" s="21" t="s">
        <v>37</v>
      </c>
      <c r="AG6" s="21" t="s">
        <v>38</v>
      </c>
      <c r="AH6" s="21" t="s">
        <v>79</v>
      </c>
      <c r="AI6" s="21" t="s">
        <v>81</v>
      </c>
      <c r="AJ6" s="21" t="s">
        <v>80</v>
      </c>
      <c r="AK6" s="21" t="s">
        <v>72</v>
      </c>
      <c r="AL6" s="21" t="s">
        <v>12</v>
      </c>
      <c r="AM6" s="18" t="s">
        <v>16</v>
      </c>
      <c r="AN6" s="18" t="s">
        <v>17</v>
      </c>
      <c r="AO6" s="18" t="s">
        <v>18</v>
      </c>
      <c r="AP6" s="17" t="s">
        <v>19</v>
      </c>
      <c r="AQ6" s="17" t="s">
        <v>20</v>
      </c>
      <c r="AR6" s="17" t="s">
        <v>21</v>
      </c>
      <c r="AS6" s="17" t="s">
        <v>22</v>
      </c>
      <c r="AT6" s="22" t="s">
        <v>52</v>
      </c>
      <c r="AU6" s="22" t="s">
        <v>53</v>
      </c>
      <c r="AV6" s="22" t="s">
        <v>66</v>
      </c>
      <c r="AW6" s="22" t="s">
        <v>54</v>
      </c>
      <c r="AX6" s="22" t="s">
        <v>55</v>
      </c>
      <c r="AY6" s="22" t="s">
        <v>56</v>
      </c>
      <c r="AZ6" s="22" t="s">
        <v>57</v>
      </c>
      <c r="BA6" s="22" t="s">
        <v>74</v>
      </c>
      <c r="BB6" s="22" t="s">
        <v>75</v>
      </c>
      <c r="BC6" s="22" t="s">
        <v>68</v>
      </c>
      <c r="BD6" s="22" t="s">
        <v>60</v>
      </c>
      <c r="BE6" s="22" t="s">
        <v>61</v>
      </c>
      <c r="BF6" s="22" t="s">
        <v>62</v>
      </c>
      <c r="BG6" s="22" t="s">
        <v>63</v>
      </c>
      <c r="BH6" s="22" t="s">
        <v>64</v>
      </c>
      <c r="BI6" s="22" t="s">
        <v>65</v>
      </c>
      <c r="BJ6" s="23" t="s">
        <v>71</v>
      </c>
      <c r="BK6" s="22" t="s">
        <v>50</v>
      </c>
    </row>
    <row r="7" spans="1:63" s="35" customFormat="1" ht="20.100000000000001" customHeight="1" x14ac:dyDescent="0.2">
      <c r="A7" s="24">
        <v>43800</v>
      </c>
      <c r="B7" s="25">
        <v>1</v>
      </c>
      <c r="C7" s="26" t="s">
        <v>39</v>
      </c>
      <c r="D7" s="27">
        <v>6900</v>
      </c>
      <c r="E7" s="26" t="s">
        <v>76</v>
      </c>
      <c r="F7" s="26" t="s">
        <v>76</v>
      </c>
      <c r="G7" s="26"/>
      <c r="H7" s="26">
        <v>11088</v>
      </c>
      <c r="I7" s="26">
        <f>H7-J7</f>
        <v>11007</v>
      </c>
      <c r="J7" s="26">
        <v>81</v>
      </c>
      <c r="K7" s="28">
        <f>IFERROR(J7/H7,"")</f>
        <v>7.305194805194805E-3</v>
      </c>
      <c r="L7" s="29">
        <f>AB7+Table1[Cutting Defects Qty.]</f>
        <v>61</v>
      </c>
      <c r="M7" s="28">
        <f>IFERROR(L7/H7,"")</f>
        <v>5.5014430014430011E-3</v>
      </c>
      <c r="N7" s="26">
        <v>8</v>
      </c>
      <c r="O7" s="26"/>
      <c r="P7" s="26"/>
      <c r="Q7" s="26"/>
      <c r="R7" s="26">
        <v>6</v>
      </c>
      <c r="S7" s="26"/>
      <c r="T7" s="26">
        <v>19</v>
      </c>
      <c r="U7" s="26">
        <v>12</v>
      </c>
      <c r="V7" s="26">
        <v>2</v>
      </c>
      <c r="W7" s="26">
        <v>4</v>
      </c>
      <c r="X7" s="26">
        <v>4</v>
      </c>
      <c r="Y7" s="26"/>
      <c r="Z7" s="26"/>
      <c r="AA7" s="26">
        <v>6</v>
      </c>
      <c r="AB7" s="30">
        <f>SUM(N7:AA7)</f>
        <v>61</v>
      </c>
      <c r="AC7" s="28">
        <f>IFERROR(AB7/H7,"")</f>
        <v>5.5014430014430011E-3</v>
      </c>
      <c r="AD7" s="26"/>
      <c r="AE7" s="26"/>
      <c r="AF7" s="26"/>
      <c r="AG7" s="26"/>
      <c r="AH7" s="26"/>
      <c r="AI7" s="26"/>
      <c r="AJ7" s="26"/>
      <c r="AK7" s="30">
        <f>SUM(Table1[[Size mistake]:[Other''s]])</f>
        <v>0</v>
      </c>
      <c r="AL7" s="31">
        <f>IFERROR(Table1[Cutting Defects Qty.]/Table1[Checked Qty],"")</f>
        <v>0</v>
      </c>
      <c r="AM7" s="26">
        <v>71</v>
      </c>
      <c r="AN7" s="26">
        <v>10</v>
      </c>
      <c r="AO7" s="26"/>
      <c r="AP7" s="32">
        <f>AN7+AO7</f>
        <v>10</v>
      </c>
      <c r="AQ7" s="33">
        <f>IFERROR(AN7/H7,"")</f>
        <v>9.0187590187590188E-4</v>
      </c>
      <c r="AR7" s="33">
        <f>IFERROR(AO7/H7,"")</f>
        <v>0</v>
      </c>
      <c r="AS7" s="34">
        <f>IFERROR(AP7/H7,"")</f>
        <v>9.0187590187590188E-4</v>
      </c>
      <c r="BJ7" s="35">
        <f>SUM(Table1[[XXS]:[11XL]])</f>
        <v>0</v>
      </c>
      <c r="BK7" s="35">
        <f>Table1[Total Reject (Size Wise)]-Table1[Total Reject]</f>
        <v>-10</v>
      </c>
    </row>
    <row r="8" spans="1:63" s="36" customFormat="1" x14ac:dyDescent="0.25">
      <c r="A8" s="35"/>
      <c r="B8" s="35"/>
      <c r="H8" s="13"/>
      <c r="I8" s="13"/>
      <c r="J8" s="13"/>
      <c r="K8" s="13"/>
      <c r="L8" s="13"/>
      <c r="M8" s="13"/>
    </row>
    <row r="9" spans="1:63" s="36" customFormat="1" x14ac:dyDescent="0.25">
      <c r="A9" s="35"/>
      <c r="B9" s="35"/>
      <c r="H9" s="13"/>
      <c r="I9" s="13"/>
      <c r="J9" s="13"/>
      <c r="K9" s="13"/>
      <c r="L9" s="13"/>
      <c r="M9" s="13"/>
    </row>
    <row r="10" spans="1:63" s="36" customFormat="1" x14ac:dyDescent="0.25">
      <c r="A10" s="35"/>
      <c r="B10" s="35"/>
      <c r="H10" s="13"/>
      <c r="I10" s="13"/>
      <c r="J10" s="13"/>
      <c r="K10" s="13"/>
      <c r="L10" s="13"/>
      <c r="M10" s="13"/>
    </row>
    <row r="11" spans="1:63" s="36" customFormat="1" x14ac:dyDescent="0.25">
      <c r="A11" s="35"/>
      <c r="B11" s="35"/>
      <c r="H11" s="13"/>
      <c r="I11" s="13"/>
      <c r="J11" s="13"/>
      <c r="K11" s="13"/>
      <c r="L11" s="13"/>
      <c r="M11" s="13"/>
    </row>
    <row r="12" spans="1:63" s="36" customFormat="1" x14ac:dyDescent="0.25">
      <c r="A12" s="35"/>
      <c r="B12" s="35"/>
      <c r="H12" s="13"/>
      <c r="I12" s="13"/>
      <c r="J12" s="13"/>
      <c r="K12" s="13"/>
      <c r="L12" s="13"/>
      <c r="M12" s="13"/>
    </row>
    <row r="13" spans="1:63" s="36" customFormat="1" x14ac:dyDescent="0.25">
      <c r="A13" s="35"/>
      <c r="B13" s="35"/>
      <c r="H13" s="13"/>
      <c r="I13" s="13"/>
      <c r="J13" s="13"/>
      <c r="K13" s="13"/>
      <c r="L13" s="13"/>
      <c r="M13" s="13"/>
    </row>
  </sheetData>
  <mergeCells count="27">
    <mergeCell ref="BK3:BK5"/>
    <mergeCell ref="BJ3:BJ5"/>
    <mergeCell ref="AK3:AK5"/>
    <mergeCell ref="AL3:AL5"/>
    <mergeCell ref="H3:H5"/>
    <mergeCell ref="AT5:BI5"/>
    <mergeCell ref="AM5:AS5"/>
    <mergeCell ref="AD5:AJ5"/>
    <mergeCell ref="AO3:AO4"/>
    <mergeCell ref="AP3:AP4"/>
    <mergeCell ref="AM3:AM4"/>
    <mergeCell ref="AN3:AN4"/>
    <mergeCell ref="B1:AS1"/>
    <mergeCell ref="A3:F5"/>
    <mergeCell ref="M3:M5"/>
    <mergeCell ref="AC3:AC5"/>
    <mergeCell ref="L3:L5"/>
    <mergeCell ref="N5:AA5"/>
    <mergeCell ref="AB3:AB5"/>
    <mergeCell ref="K3:K5"/>
    <mergeCell ref="J3:J5"/>
    <mergeCell ref="I3:I5"/>
    <mergeCell ref="G3:G5"/>
    <mergeCell ref="AS3:AS4"/>
    <mergeCell ref="AR3:AR4"/>
    <mergeCell ref="AQ3:AQ4"/>
    <mergeCell ref="A2:AS2"/>
  </mergeCells>
  <conditionalFormatting sqref="A3 N4:AA5 BK3:XFD3 BL4:XFD5 AD4:AJ5 AL3:BI3 AM5:AT5 G3:AJ3">
    <cfRule type="notContainsBlanks" dxfId="74" priority="5">
      <formula>LEN(TRIM(A3))&gt;0</formula>
    </cfRule>
  </conditionalFormatting>
  <conditionalFormatting sqref="BJ3">
    <cfRule type="notContainsBlanks" dxfId="73" priority="3">
      <formula>LEN(TRIM(BJ3))&gt;0</formula>
    </cfRule>
  </conditionalFormatting>
  <conditionalFormatting sqref="BK1:BK3 BK6:BK1048576">
    <cfRule type="cellIs" dxfId="72" priority="2" operator="notEqual">
      <formula>0</formula>
    </cfRule>
  </conditionalFormatting>
  <conditionalFormatting sqref="AK3">
    <cfRule type="notContainsBlanks" dxfId="71" priority="1">
      <formula>LEN(TRIM(AK3))&gt;0</formula>
    </cfRule>
  </conditionalFormatting>
  <pageMargins left="0.45" right="0.2" top="0.5" bottom="0.25" header="0.3" footer="0.3"/>
  <pageSetup scale="38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'Size Range'!$A:$A</xm:f>
          </x14:formula1>
          <xm:sqref>C6 A3:F5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showGridLines="0" tabSelected="1" zoomScale="85" zoomScaleNormal="85" workbookViewId="0">
      <selection activeCell="G10" sqref="G10"/>
    </sheetView>
  </sheetViews>
  <sheetFormatPr defaultRowHeight="14.25" x14ac:dyDescent="0.25"/>
  <cols>
    <col min="1" max="1" width="20.5703125" style="38" bestFit="1" customWidth="1"/>
    <col min="2" max="2" width="27.85546875" style="38" customWidth="1"/>
    <col min="3" max="3" width="19.85546875" style="38" customWidth="1"/>
    <col min="4" max="4" width="21.42578125" style="38" bestFit="1" customWidth="1"/>
    <col min="5" max="5" width="20.5703125" style="38" bestFit="1" customWidth="1"/>
    <col min="6" max="6" width="10.5703125" style="38" bestFit="1" customWidth="1"/>
    <col min="7" max="7" width="9.7109375" style="38" bestFit="1" customWidth="1"/>
    <col min="8" max="8" width="9.140625" style="38" bestFit="1" customWidth="1"/>
    <col min="9" max="12" width="9.140625" style="38" customWidth="1"/>
    <col min="13" max="13" width="8.28515625" style="38" customWidth="1"/>
    <col min="14" max="23" width="7.5703125" style="38" customWidth="1"/>
    <col min="24" max="24" width="8" style="38" customWidth="1"/>
    <col min="25" max="25" width="11.28515625" style="38" customWidth="1"/>
    <col min="26" max="26" width="10.7109375" style="41" customWidth="1"/>
    <col min="27" max="28" width="10.28515625" style="38" customWidth="1"/>
    <col min="29" max="29" width="25" style="38" customWidth="1"/>
    <col min="30" max="16384" width="9.140625" style="38"/>
  </cols>
  <sheetData>
    <row r="1" spans="1:29" ht="23.25" x14ac:dyDescent="0.25">
      <c r="A1" s="91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3"/>
      <c r="AA1" s="43"/>
      <c r="AB1" s="43"/>
    </row>
    <row r="2" spans="1:29" ht="18" x14ac:dyDescent="0.25">
      <c r="A2" s="92" t="s">
        <v>73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  <c r="AA2" s="45"/>
      <c r="AB2" s="45"/>
    </row>
    <row r="3" spans="1:29" s="39" customFormat="1" ht="21.75" customHeight="1" x14ac:dyDescent="0.25">
      <c r="A3" s="46" t="s">
        <v>43</v>
      </c>
      <c r="B3" s="47" t="s">
        <v>145</v>
      </c>
      <c r="C3" s="93" t="s">
        <v>44</v>
      </c>
      <c r="D3" s="93"/>
      <c r="E3" s="93"/>
      <c r="F3" s="48">
        <f>SUBTOTAL(9,F5:F10)</f>
        <v>0</v>
      </c>
      <c r="G3" s="49" t="str">
        <f>IFERROR(M3/F3,"")</f>
        <v/>
      </c>
      <c r="H3" s="48">
        <f t="shared" ref="H3:M3" si="0">SUBTOTAL(9,H5:H10)</f>
        <v>0</v>
      </c>
      <c r="I3" s="48">
        <f t="shared" si="0"/>
        <v>0</v>
      </c>
      <c r="J3" s="48">
        <f t="shared" si="0"/>
        <v>0</v>
      </c>
      <c r="K3" s="48">
        <f t="shared" si="0"/>
        <v>0</v>
      </c>
      <c r="L3" s="48">
        <f t="shared" si="0"/>
        <v>0</v>
      </c>
      <c r="M3" s="48">
        <f t="shared" si="0"/>
        <v>0</v>
      </c>
      <c r="N3" s="48">
        <f t="shared" ref="N3:Y3" si="1">SUBTOTAL(9,N5:N5)</f>
        <v>0</v>
      </c>
      <c r="O3" s="48">
        <f t="shared" si="1"/>
        <v>0</v>
      </c>
      <c r="P3" s="48">
        <f t="shared" si="1"/>
        <v>0</v>
      </c>
      <c r="Q3" s="48">
        <f t="shared" si="1"/>
        <v>0</v>
      </c>
      <c r="R3" s="48">
        <f t="shared" si="1"/>
        <v>0</v>
      </c>
      <c r="S3" s="48">
        <f t="shared" si="1"/>
        <v>0</v>
      </c>
      <c r="T3" s="48">
        <f t="shared" si="1"/>
        <v>0</v>
      </c>
      <c r="U3" s="48">
        <f t="shared" si="1"/>
        <v>0</v>
      </c>
      <c r="V3" s="48">
        <f t="shared" si="1"/>
        <v>0</v>
      </c>
      <c r="W3" s="48">
        <f t="shared" si="1"/>
        <v>0</v>
      </c>
      <c r="X3" s="48">
        <f t="shared" si="1"/>
        <v>0</v>
      </c>
      <c r="Y3" s="48">
        <f t="shared" si="1"/>
        <v>0</v>
      </c>
      <c r="Z3" s="97" t="s">
        <v>45</v>
      </c>
      <c r="AA3" s="98" t="s">
        <v>46</v>
      </c>
      <c r="AB3" s="99" t="s">
        <v>51</v>
      </c>
      <c r="AC3" s="99" t="s">
        <v>141</v>
      </c>
    </row>
    <row r="4" spans="1:29" s="40" customFormat="1" ht="86.25" customHeight="1" x14ac:dyDescent="0.25">
      <c r="A4" s="94" t="s">
        <v>47</v>
      </c>
      <c r="B4" s="95" t="s">
        <v>3</v>
      </c>
      <c r="C4" s="95" t="s">
        <v>139</v>
      </c>
      <c r="D4" s="95" t="s">
        <v>140</v>
      </c>
      <c r="E4" s="95" t="s">
        <v>40</v>
      </c>
      <c r="F4" s="96" t="s">
        <v>142</v>
      </c>
      <c r="G4" s="96" t="s">
        <v>48</v>
      </c>
      <c r="H4" s="96" t="s">
        <v>135</v>
      </c>
      <c r="I4" s="96" t="s">
        <v>143</v>
      </c>
      <c r="J4" s="96" t="s">
        <v>136</v>
      </c>
      <c r="K4" s="96" t="s">
        <v>137</v>
      </c>
      <c r="L4" s="96" t="s">
        <v>138</v>
      </c>
      <c r="M4" s="95" t="s">
        <v>134</v>
      </c>
      <c r="N4" s="95" t="str">
        <f>INDEX('Size Range'!B:B,MATCH('Rejection Data'!$A$4,'Size Range'!$A:$A,0))</f>
        <v>XS</v>
      </c>
      <c r="O4" s="95" t="str">
        <f>INDEX('Size Range'!C:C,MATCH('Rejection Data'!$A$4,'Size Range'!$A:$A,0))</f>
        <v>S</v>
      </c>
      <c r="P4" s="95" t="str">
        <f>INDEX('Size Range'!D:D,MATCH('Rejection Data'!$A$4,'Size Range'!$A:$A,0))</f>
        <v>M</v>
      </c>
      <c r="Q4" s="95" t="str">
        <f>INDEX('Size Range'!E:E,MATCH('Rejection Data'!$A$4,'Size Range'!$A:$A,0))</f>
        <v>L</v>
      </c>
      <c r="R4" s="95" t="str">
        <f>INDEX('Size Range'!F:F,MATCH('Rejection Data'!$A$4,'Size Range'!$A:$A,0))</f>
        <v>XL</v>
      </c>
      <c r="S4" s="95" t="str">
        <f>INDEX('Size Range'!G:G,MATCH('Rejection Data'!$A$4,'Size Range'!$A:$A,0))</f>
        <v>2XL</v>
      </c>
      <c r="T4" s="95" t="str">
        <f>INDEX('Size Range'!H:H,MATCH('Rejection Data'!$A$4,'Size Range'!$A:$A,0))</f>
        <v>3XL</v>
      </c>
      <c r="U4" s="95" t="str">
        <f>INDEX('Size Range'!I:I,MATCH('Rejection Data'!$A$4,'Size Range'!$A:$A,0))</f>
        <v>4XL</v>
      </c>
      <c r="V4" s="95" t="str">
        <f>INDEX('Size Range'!J:J,MATCH('Rejection Data'!$A$4,'Size Range'!$A:$A,0))</f>
        <v>5XL</v>
      </c>
      <c r="W4" s="95" t="str">
        <f>INDEX('Size Range'!K:K,MATCH('Rejection Data'!$A$4,'Size Range'!$A:$A,0))</f>
        <v>6XL</v>
      </c>
      <c r="X4" s="95" t="s">
        <v>49</v>
      </c>
      <c r="Y4" s="96" t="s">
        <v>50</v>
      </c>
      <c r="Z4" s="97"/>
      <c r="AA4" s="98"/>
      <c r="AB4" s="99"/>
      <c r="AC4" s="99"/>
    </row>
    <row r="5" spans="1:29" ht="14.25" customHeight="1" x14ac:dyDescent="0.25">
      <c r="A5" s="50"/>
      <c r="B5" s="50"/>
      <c r="C5" s="50"/>
      <c r="D5" s="50"/>
      <c r="E5" s="50"/>
      <c r="F5" s="50"/>
      <c r="G5" s="51"/>
      <c r="H5" s="50"/>
      <c r="I5" s="50"/>
      <c r="J5" s="50"/>
      <c r="K5" s="50"/>
      <c r="L5" s="50"/>
      <c r="M5" s="52"/>
      <c r="N5" s="50"/>
      <c r="O5" s="50"/>
      <c r="P5" s="50"/>
      <c r="Q5" s="50"/>
      <c r="R5" s="50"/>
      <c r="S5" s="50"/>
      <c r="T5" s="50"/>
      <c r="U5" s="50"/>
      <c r="V5" s="50"/>
      <c r="W5" s="50"/>
      <c r="X5" s="53"/>
      <c r="Y5" s="53"/>
      <c r="Z5" s="54"/>
      <c r="AA5" s="55"/>
      <c r="AB5" s="52"/>
      <c r="AC5" s="56"/>
    </row>
    <row r="6" spans="1:29" ht="15" customHeight="1" x14ac:dyDescent="0.25">
      <c r="A6" s="56"/>
      <c r="B6" s="56"/>
      <c r="C6" s="56"/>
      <c r="D6" s="56"/>
      <c r="E6" s="56"/>
      <c r="F6" s="56"/>
      <c r="G6" s="51"/>
      <c r="H6" s="56"/>
      <c r="I6" s="56"/>
      <c r="J6" s="56"/>
      <c r="K6" s="56"/>
      <c r="L6" s="56"/>
      <c r="M6" s="52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7"/>
      <c r="AA6" s="55"/>
      <c r="AB6" s="52"/>
      <c r="AC6" s="56"/>
    </row>
    <row r="7" spans="1:29" ht="15" customHeight="1" x14ac:dyDescent="0.25">
      <c r="A7" s="56"/>
      <c r="B7" s="56"/>
      <c r="C7" s="56"/>
      <c r="D7" s="56"/>
      <c r="E7" s="56"/>
      <c r="F7" s="56"/>
      <c r="G7" s="51"/>
      <c r="H7" s="56"/>
      <c r="I7" s="56"/>
      <c r="J7" s="56"/>
      <c r="K7" s="56"/>
      <c r="L7" s="56"/>
      <c r="M7" s="52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7"/>
      <c r="AA7" s="55"/>
      <c r="AB7" s="52"/>
      <c r="AC7" s="56"/>
    </row>
    <row r="8" spans="1:29" ht="15" customHeight="1" x14ac:dyDescent="0.25">
      <c r="A8" s="56"/>
      <c r="B8" s="56"/>
      <c r="C8" s="56"/>
      <c r="D8" s="56"/>
      <c r="E8" s="56"/>
      <c r="F8" s="56"/>
      <c r="G8" s="51"/>
      <c r="H8" s="56"/>
      <c r="I8" s="56"/>
      <c r="J8" s="56"/>
      <c r="K8" s="56"/>
      <c r="L8" s="56"/>
      <c r="M8" s="52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7"/>
      <c r="AA8" s="55"/>
      <c r="AB8" s="52"/>
      <c r="AC8" s="56"/>
    </row>
    <row r="9" spans="1:29" ht="15" customHeight="1" x14ac:dyDescent="0.25">
      <c r="A9" s="56"/>
      <c r="B9" s="56"/>
      <c r="C9" s="56"/>
      <c r="D9" s="56"/>
      <c r="E9" s="56"/>
      <c r="F9" s="56"/>
      <c r="G9" s="51"/>
      <c r="H9" s="56"/>
      <c r="I9" s="56"/>
      <c r="J9" s="56"/>
      <c r="K9" s="56"/>
      <c r="L9" s="56"/>
      <c r="M9" s="52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7"/>
      <c r="AA9" s="55"/>
      <c r="AB9" s="52"/>
      <c r="AC9" s="56"/>
    </row>
    <row r="10" spans="1:29" ht="15" customHeight="1" x14ac:dyDescent="0.25">
      <c r="A10" s="56"/>
      <c r="B10" s="56"/>
      <c r="C10" s="56"/>
      <c r="D10" s="56"/>
      <c r="E10" s="56"/>
      <c r="F10" s="56"/>
      <c r="G10" s="51"/>
      <c r="H10" s="56"/>
      <c r="I10" s="56"/>
      <c r="J10" s="56"/>
      <c r="K10" s="56"/>
      <c r="L10" s="56"/>
      <c r="M10" s="52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7"/>
      <c r="AA10" s="55"/>
      <c r="AB10" s="52"/>
      <c r="AC10" s="56"/>
    </row>
  </sheetData>
  <sheetProtection insertRows="0" sort="0" autoFilter="0"/>
  <autoFilter ref="A4:AC10"/>
  <mergeCells count="7">
    <mergeCell ref="A1:M1"/>
    <mergeCell ref="A2:M2"/>
    <mergeCell ref="AC3:AC4"/>
    <mergeCell ref="AB3:AB4"/>
    <mergeCell ref="C3:E3"/>
    <mergeCell ref="Z3:Z4"/>
    <mergeCell ref="AA3:AA4"/>
  </mergeCells>
  <conditionalFormatting sqref="G3:G10">
    <cfRule type="containsBlanks" dxfId="3" priority="3">
      <formula>LEN(TRIM(G3))=0</formula>
    </cfRule>
    <cfRule type="cellIs" dxfId="2" priority="4" operator="greaterThan">
      <formula>0.01</formula>
    </cfRule>
  </conditionalFormatting>
  <conditionalFormatting sqref="Y5">
    <cfRule type="cellIs" dxfId="1" priority="1" operator="lessThan">
      <formula>0</formula>
    </cfRule>
    <cfRule type="cellIs" dxfId="0" priority="2" operator="greaterThan">
      <formula>0</formula>
    </cfRule>
  </conditionalFormatting>
  <pageMargins left="0.2" right="0.2" top="0.5" bottom="0.5" header="0.3" footer="0.3"/>
  <pageSetup scale="80" orientation="portrait" blackAndWhite="1" r:id="rId1"/>
  <headerFooter>
    <oddHeader>&amp;LReport Generated By Quality Assurance</oddHeader>
  </headerFooter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'Size Range'!$A:$A</xm:f>
          </x14:formula1>
          <xm:sqref>A4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N26" sqref="N26"/>
    </sheetView>
  </sheetViews>
  <sheetFormatPr defaultRowHeight="15" x14ac:dyDescent="0.25"/>
  <cols>
    <col min="1" max="1" width="18" style="4" bestFit="1" customWidth="1"/>
    <col min="2" max="2" width="20.140625" style="5" bestFit="1" customWidth="1"/>
    <col min="3" max="3" width="17.42578125" style="5" bestFit="1" customWidth="1"/>
    <col min="4" max="4" width="19.140625" style="5" bestFit="1" customWidth="1"/>
    <col min="5" max="5" width="16.5703125" style="5" bestFit="1" customWidth="1"/>
    <col min="6" max="6" width="19.42578125" style="5" bestFit="1" customWidth="1"/>
    <col min="7" max="7" width="18.85546875" style="5" bestFit="1" customWidth="1"/>
    <col min="8" max="8" width="14.42578125" style="5" bestFit="1" customWidth="1"/>
    <col min="9" max="9" width="12.7109375" style="5" bestFit="1" customWidth="1"/>
    <col min="10" max="10" width="14.42578125" style="5" bestFit="1" customWidth="1"/>
    <col min="11" max="11" width="10.7109375" style="5" bestFit="1" customWidth="1"/>
    <col min="12" max="16384" width="9.140625" style="4"/>
  </cols>
  <sheetData>
    <row r="1" spans="1:11" x14ac:dyDescent="0.25">
      <c r="A1" s="4" t="s">
        <v>133</v>
      </c>
    </row>
    <row r="2" spans="1:11" x14ac:dyDescent="0.25">
      <c r="A2" s="6" t="s">
        <v>47</v>
      </c>
      <c r="B2" s="7" t="s">
        <v>53</v>
      </c>
      <c r="C2" s="7" t="s">
        <v>66</v>
      </c>
      <c r="D2" s="7" t="s">
        <v>54</v>
      </c>
      <c r="E2" s="7" t="s">
        <v>55</v>
      </c>
      <c r="F2" s="7" t="s">
        <v>56</v>
      </c>
      <c r="G2" s="7" t="s">
        <v>57</v>
      </c>
      <c r="H2" s="7" t="s">
        <v>58</v>
      </c>
      <c r="I2" s="7" t="s">
        <v>59</v>
      </c>
      <c r="J2" s="7" t="s">
        <v>68</v>
      </c>
      <c r="K2" s="7" t="s">
        <v>69</v>
      </c>
    </row>
    <row r="3" spans="1:11" x14ac:dyDescent="0.25">
      <c r="A3" s="8" t="s">
        <v>82</v>
      </c>
      <c r="B3" s="9" t="s">
        <v>83</v>
      </c>
      <c r="C3" s="9">
        <v>80</v>
      </c>
      <c r="D3" s="9">
        <v>90</v>
      </c>
      <c r="E3" s="9">
        <v>95</v>
      </c>
      <c r="F3" s="9">
        <v>100</v>
      </c>
      <c r="G3" s="9">
        <v>110</v>
      </c>
      <c r="H3" s="9">
        <v>120</v>
      </c>
      <c r="I3" s="9">
        <v>130</v>
      </c>
      <c r="J3" s="9">
        <v>140</v>
      </c>
      <c r="K3" s="9">
        <v>150</v>
      </c>
    </row>
    <row r="4" spans="1:11" x14ac:dyDescent="0.25">
      <c r="A4" s="8" t="s">
        <v>84</v>
      </c>
      <c r="B4" s="9">
        <v>4</v>
      </c>
      <c r="C4" s="9">
        <v>5</v>
      </c>
      <c r="D4" s="9">
        <v>6</v>
      </c>
      <c r="E4" s="9">
        <v>7</v>
      </c>
      <c r="F4" s="9" t="s">
        <v>85</v>
      </c>
      <c r="G4" s="9" t="s">
        <v>86</v>
      </c>
      <c r="H4" s="9" t="s">
        <v>87</v>
      </c>
      <c r="I4" s="9" t="s">
        <v>88</v>
      </c>
      <c r="J4" s="9" t="s">
        <v>89</v>
      </c>
      <c r="K4" s="9" t="s">
        <v>76</v>
      </c>
    </row>
    <row r="5" spans="1:11" x14ac:dyDescent="0.25">
      <c r="A5" s="8" t="s">
        <v>90</v>
      </c>
      <c r="B5" s="9" t="s">
        <v>91</v>
      </c>
      <c r="C5" s="9" t="s">
        <v>92</v>
      </c>
      <c r="D5" s="9" t="s">
        <v>93</v>
      </c>
      <c r="E5" s="9" t="s">
        <v>94</v>
      </c>
      <c r="F5" s="9" t="s">
        <v>95</v>
      </c>
      <c r="G5" s="9" t="s">
        <v>96</v>
      </c>
      <c r="H5" s="9" t="s">
        <v>97</v>
      </c>
      <c r="I5" s="9" t="s">
        <v>98</v>
      </c>
      <c r="J5" s="9" t="s">
        <v>99</v>
      </c>
      <c r="K5" s="9" t="s">
        <v>76</v>
      </c>
    </row>
    <row r="6" spans="1:11" x14ac:dyDescent="0.25">
      <c r="A6" s="8" t="s">
        <v>100</v>
      </c>
      <c r="B6" s="9" t="s">
        <v>101</v>
      </c>
      <c r="C6" s="9" t="s">
        <v>102</v>
      </c>
      <c r="D6" s="9" t="s">
        <v>103</v>
      </c>
      <c r="E6" s="9" t="s">
        <v>104</v>
      </c>
      <c r="F6" s="9" t="s">
        <v>105</v>
      </c>
      <c r="G6" s="9" t="s">
        <v>106</v>
      </c>
      <c r="H6" s="9" t="s">
        <v>107</v>
      </c>
      <c r="I6" s="9" t="s">
        <v>76</v>
      </c>
      <c r="J6" s="9" t="s">
        <v>76</v>
      </c>
      <c r="K6" s="9" t="s">
        <v>76</v>
      </c>
    </row>
    <row r="7" spans="1:11" x14ac:dyDescent="0.25">
      <c r="A7" s="8" t="s">
        <v>108</v>
      </c>
      <c r="B7" s="9" t="s">
        <v>109</v>
      </c>
      <c r="C7" s="9" t="s">
        <v>110</v>
      </c>
      <c r="D7" s="9" t="s">
        <v>111</v>
      </c>
      <c r="E7" s="9" t="s">
        <v>112</v>
      </c>
      <c r="F7" s="9" t="s">
        <v>113</v>
      </c>
      <c r="G7" s="9" t="s">
        <v>114</v>
      </c>
      <c r="H7" s="9" t="s">
        <v>115</v>
      </c>
      <c r="I7" s="9" t="s">
        <v>116</v>
      </c>
      <c r="J7" s="9" t="s">
        <v>117</v>
      </c>
      <c r="K7" s="9" t="s">
        <v>118</v>
      </c>
    </row>
    <row r="8" spans="1:11" x14ac:dyDescent="0.25">
      <c r="A8" s="10" t="s">
        <v>119</v>
      </c>
      <c r="B8" s="9" t="s">
        <v>53</v>
      </c>
      <c r="C8" s="9" t="s">
        <v>66</v>
      </c>
      <c r="D8" s="9" t="s">
        <v>54</v>
      </c>
      <c r="E8" s="9" t="s">
        <v>55</v>
      </c>
      <c r="F8" s="9" t="s">
        <v>56</v>
      </c>
      <c r="G8" s="9" t="s">
        <v>67</v>
      </c>
      <c r="H8" s="9" t="s">
        <v>58</v>
      </c>
      <c r="I8" s="9" t="s">
        <v>76</v>
      </c>
      <c r="J8" s="9" t="s">
        <v>76</v>
      </c>
      <c r="K8" s="9" t="s">
        <v>76</v>
      </c>
    </row>
    <row r="9" spans="1:11" x14ac:dyDescent="0.25">
      <c r="A9" s="10" t="s">
        <v>120</v>
      </c>
      <c r="B9" s="9">
        <v>34</v>
      </c>
      <c r="C9" s="9">
        <v>36</v>
      </c>
      <c r="D9" s="9">
        <v>38</v>
      </c>
      <c r="E9" s="9">
        <v>40</v>
      </c>
      <c r="F9" s="9">
        <v>42</v>
      </c>
      <c r="G9" s="9">
        <v>44</v>
      </c>
      <c r="H9" s="9">
        <v>46</v>
      </c>
      <c r="I9" s="9">
        <v>48</v>
      </c>
      <c r="J9" s="9" t="s">
        <v>76</v>
      </c>
      <c r="K9" s="9" t="s">
        <v>76</v>
      </c>
    </row>
    <row r="10" spans="1:11" x14ac:dyDescent="0.25">
      <c r="A10" s="10" t="s">
        <v>121</v>
      </c>
      <c r="B10" s="9" t="s">
        <v>122</v>
      </c>
      <c r="C10" s="9" t="s">
        <v>123</v>
      </c>
      <c r="D10" s="9" t="s">
        <v>124</v>
      </c>
      <c r="E10" s="9" t="s">
        <v>125</v>
      </c>
      <c r="F10" s="9">
        <v>4</v>
      </c>
      <c r="G10" s="9">
        <v>5</v>
      </c>
      <c r="H10" s="9">
        <v>6</v>
      </c>
      <c r="I10" s="9">
        <v>7</v>
      </c>
      <c r="J10" s="9" t="s">
        <v>76</v>
      </c>
      <c r="K10" s="9" t="s">
        <v>76</v>
      </c>
    </row>
    <row r="11" spans="1:11" x14ac:dyDescent="0.25">
      <c r="A11" s="10" t="s">
        <v>121</v>
      </c>
      <c r="B11" s="9" t="s">
        <v>76</v>
      </c>
      <c r="C11" s="9" t="s">
        <v>76</v>
      </c>
      <c r="D11" s="9">
        <v>4</v>
      </c>
      <c r="E11" s="9">
        <v>5</v>
      </c>
      <c r="F11" s="9">
        <v>6</v>
      </c>
      <c r="G11" s="9">
        <v>7</v>
      </c>
      <c r="H11" s="9" t="s">
        <v>85</v>
      </c>
      <c r="I11" s="9" t="s">
        <v>76</v>
      </c>
      <c r="J11" s="9" t="s">
        <v>76</v>
      </c>
      <c r="K11" s="9" t="s">
        <v>76</v>
      </c>
    </row>
    <row r="12" spans="1:11" x14ac:dyDescent="0.25">
      <c r="A12" s="8" t="s">
        <v>121</v>
      </c>
      <c r="B12" s="9" t="s">
        <v>76</v>
      </c>
      <c r="C12" s="9" t="s">
        <v>76</v>
      </c>
      <c r="D12" s="9" t="s">
        <v>126</v>
      </c>
      <c r="E12" s="9" t="s">
        <v>127</v>
      </c>
      <c r="F12" s="9" t="s">
        <v>128</v>
      </c>
      <c r="G12" s="9" t="s">
        <v>129</v>
      </c>
      <c r="H12" s="9" t="s">
        <v>76</v>
      </c>
      <c r="I12" s="9" t="s">
        <v>76</v>
      </c>
      <c r="J12" s="9" t="s">
        <v>76</v>
      </c>
      <c r="K12" s="9" t="s">
        <v>76</v>
      </c>
    </row>
    <row r="13" spans="1:11" x14ac:dyDescent="0.25">
      <c r="A13" s="8" t="s">
        <v>130</v>
      </c>
      <c r="B13" s="9" t="s">
        <v>53</v>
      </c>
      <c r="C13" s="9" t="s">
        <v>66</v>
      </c>
      <c r="D13" s="9" t="s">
        <v>54</v>
      </c>
      <c r="E13" s="9" t="s">
        <v>55</v>
      </c>
      <c r="F13" s="9" t="s">
        <v>56</v>
      </c>
      <c r="G13" s="9" t="s">
        <v>57</v>
      </c>
      <c r="H13" s="9" t="s">
        <v>76</v>
      </c>
      <c r="I13" s="9" t="s">
        <v>76</v>
      </c>
      <c r="J13" s="9" t="s">
        <v>76</v>
      </c>
      <c r="K13" s="9" t="s">
        <v>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Cut Panel Data</vt:lpstr>
      <vt:lpstr>Rejection Data</vt:lpstr>
      <vt:lpstr>Size Range</vt:lpstr>
      <vt:lpstr>'Cut Panel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Hasan Mohammad Imran</cp:lastModifiedBy>
  <cp:lastPrinted>2020-01-06T07:14:21Z</cp:lastPrinted>
  <dcterms:created xsi:type="dcterms:W3CDTF">2019-12-31T03:38:58Z</dcterms:created>
  <dcterms:modified xsi:type="dcterms:W3CDTF">2020-10-19T01:16:28Z</dcterms:modified>
</cp:coreProperties>
</file>